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90" yWindow="420" windowWidth="16995" windowHeight="7785" firstSheet="1" activeTab="19"/>
  </bookViews>
  <sheets>
    <sheet name="report" sheetId="22" r:id="rId1"/>
    <sheet name="ALL_SEGMENTS" sheetId="1" r:id="rId2"/>
    <sheet name="A1" sheetId="2" r:id="rId3"/>
    <sheet name="A2" sheetId="3" r:id="rId4"/>
    <sheet name="A3" sheetId="4" r:id="rId5"/>
    <sheet name="A4" sheetId="5" r:id="rId6"/>
    <sheet name="A5" sheetId="6" r:id="rId7"/>
    <sheet name="A6" sheetId="7" r:id="rId8"/>
    <sheet name="B1" sheetId="8" r:id="rId9"/>
    <sheet name="B2" sheetId="9" r:id="rId10"/>
    <sheet name="B3" sheetId="10" r:id="rId11"/>
    <sheet name="B4" sheetId="11" r:id="rId12"/>
    <sheet name="C1" sheetId="12" r:id="rId13"/>
    <sheet name="D1" sheetId="13" r:id="rId14"/>
    <sheet name="Br-A" sheetId="14" r:id="rId15"/>
    <sheet name="Br-B" sheetId="15" r:id="rId16"/>
    <sheet name="Misc" sheetId="16" r:id="rId17"/>
    <sheet name="General Notes" sheetId="17" r:id="rId18"/>
    <sheet name="Materials" sheetId="19" r:id="rId19"/>
    <sheet name="References" sheetId="20" r:id="rId20"/>
  </sheets>
  <calcPr calcId="145621"/>
</workbook>
</file>

<file path=xl/calcChain.xml><?xml version="1.0" encoding="utf-8"?>
<calcChain xmlns="http://schemas.openxmlformats.org/spreadsheetml/2006/main">
  <c r="K35" i="22" l="1"/>
  <c r="J34" i="22"/>
  <c r="J33" i="22"/>
  <c r="E31" i="22"/>
  <c r="L31" i="1" l="1"/>
  <c r="L22" i="1"/>
  <c r="C21" i="12"/>
  <c r="E21" i="12"/>
  <c r="B23" i="22" l="1"/>
  <c r="C23" i="22"/>
  <c r="D23" i="22"/>
  <c r="E23" i="22"/>
  <c r="B24" i="22"/>
  <c r="C24" i="22"/>
  <c r="D24" i="22"/>
  <c r="E24" i="22"/>
  <c r="B25" i="22"/>
  <c r="C25" i="22"/>
  <c r="D25" i="22"/>
  <c r="E25" i="22"/>
  <c r="B26" i="22"/>
  <c r="C26" i="22"/>
  <c r="D26" i="22"/>
  <c r="E26" i="22"/>
  <c r="B27" i="22"/>
  <c r="C27" i="22"/>
  <c r="D27" i="22"/>
  <c r="E27" i="22"/>
  <c r="B28" i="22"/>
  <c r="C28" i="22"/>
  <c r="D28" i="22"/>
  <c r="E28" i="22"/>
  <c r="B29" i="22"/>
  <c r="C29" i="22"/>
  <c r="D29" i="22"/>
  <c r="E29" i="22"/>
  <c r="B30" i="22"/>
  <c r="C30" i="22"/>
  <c r="D30" i="22"/>
  <c r="E30" i="22"/>
  <c r="B31" i="22"/>
  <c r="C31" i="22"/>
  <c r="D31" i="22"/>
  <c r="E22" i="22"/>
  <c r="D22" i="22"/>
  <c r="C22" i="22"/>
  <c r="B22" i="22"/>
  <c r="E21" i="22"/>
  <c r="D21" i="22"/>
  <c r="C21" i="22"/>
  <c r="B21" i="22"/>
  <c r="E11" i="1"/>
  <c r="L62" i="1"/>
  <c r="H51" i="1"/>
  <c r="L50" i="1"/>
  <c r="H50" i="1"/>
  <c r="H40" i="1"/>
  <c r="L39" i="1"/>
  <c r="H39" i="1"/>
  <c r="K39" i="1"/>
  <c r="L33" i="1"/>
  <c r="K33" i="1"/>
  <c r="J34" i="1"/>
  <c r="J33" i="1"/>
  <c r="I34" i="1"/>
  <c r="I33" i="1"/>
  <c r="H33" i="1"/>
  <c r="H34" i="1"/>
  <c r="F34" i="1"/>
  <c r="E34" i="1"/>
  <c r="E44" i="1"/>
  <c r="D44" i="1"/>
  <c r="L44" i="1" s="1"/>
  <c r="E27" i="1"/>
  <c r="D27" i="1"/>
  <c r="L27" i="1" s="1"/>
  <c r="E16" i="1"/>
  <c r="D16" i="1"/>
  <c r="L16" i="1" s="1"/>
  <c r="J12" i="4"/>
  <c r="I12" i="6"/>
  <c r="I12" i="7"/>
  <c r="H12" i="8"/>
  <c r="H12" i="9"/>
  <c r="D12" i="12"/>
  <c r="I12" i="13"/>
  <c r="F12" i="14"/>
  <c r="F12" i="15"/>
  <c r="G12" i="3"/>
  <c r="G11" i="2"/>
  <c r="I6" i="5"/>
  <c r="L60" i="1"/>
  <c r="L58" i="1"/>
  <c r="L57" i="1"/>
  <c r="L59" i="1"/>
  <c r="L49" i="1"/>
  <c r="L56" i="1"/>
  <c r="L55" i="1"/>
  <c r="L54" i="1"/>
  <c r="L53" i="1"/>
  <c r="L48" i="1"/>
  <c r="L51" i="1" s="1"/>
  <c r="L47" i="1"/>
  <c r="L46" i="1"/>
  <c r="L45" i="1"/>
  <c r="L43" i="1"/>
  <c r="L42" i="1"/>
  <c r="L38" i="1"/>
  <c r="L40" i="1" s="1"/>
  <c r="L37" i="1"/>
  <c r="L36" i="1"/>
  <c r="F33" i="1"/>
  <c r="L32" i="1"/>
  <c r="L34" i="1"/>
  <c r="L30" i="1"/>
  <c r="L21" i="1"/>
  <c r="L20" i="1"/>
  <c r="L28" i="1"/>
  <c r="L26" i="1"/>
  <c r="L25" i="1"/>
  <c r="L24" i="1"/>
  <c r="L18" i="1"/>
  <c r="L17" i="1"/>
  <c r="L15" i="1"/>
  <c r="L14" i="1"/>
  <c r="L13" i="1"/>
  <c r="L11" i="1"/>
  <c r="L10" i="1"/>
  <c r="L9" i="1"/>
  <c r="L8" i="1"/>
  <c r="L7" i="1"/>
  <c r="L6" i="1"/>
  <c r="L5" i="1"/>
  <c r="L4" i="1"/>
  <c r="L3" i="1"/>
  <c r="E23" i="15"/>
  <c r="C23" i="15"/>
  <c r="E23" i="14"/>
  <c r="C23" i="14"/>
  <c r="C25" i="13"/>
  <c r="E25" i="13"/>
  <c r="E27" i="11"/>
  <c r="C27" i="11"/>
  <c r="E34" i="10"/>
  <c r="C34" i="10"/>
  <c r="E29" i="9"/>
  <c r="C29" i="9"/>
  <c r="C29" i="8"/>
  <c r="E29" i="8"/>
  <c r="E28" i="7"/>
  <c r="C28" i="7"/>
  <c r="E28" i="6"/>
  <c r="C28" i="6"/>
  <c r="E29" i="5"/>
  <c r="C29" i="5"/>
  <c r="E29" i="4"/>
  <c r="C29" i="4"/>
  <c r="E25" i="3"/>
  <c r="C25" i="3"/>
  <c r="C24" i="2"/>
  <c r="E24" i="2"/>
  <c r="L63" i="1" l="1"/>
  <c r="F50" i="1"/>
  <c r="F51" i="1" s="1"/>
  <c r="B2" i="16" l="1"/>
  <c r="D15" i="16"/>
  <c r="D14" i="16"/>
  <c r="D13" i="16"/>
  <c r="D12" i="16"/>
  <c r="F9" i="3"/>
  <c r="F10" i="3"/>
  <c r="F11" i="3"/>
  <c r="F11" i="10" l="1"/>
  <c r="F9" i="10"/>
  <c r="F8" i="10"/>
  <c r="F7" i="10"/>
  <c r="F6" i="10"/>
  <c r="G10" i="7"/>
  <c r="G11" i="7"/>
  <c r="H8" i="6"/>
  <c r="H9" i="6"/>
  <c r="H10" i="6"/>
  <c r="H11" i="6"/>
  <c r="G8" i="6"/>
  <c r="G9" i="6"/>
  <c r="G10" i="6"/>
  <c r="G11" i="6"/>
  <c r="I9" i="5"/>
  <c r="I10" i="5"/>
  <c r="I11" i="5"/>
  <c r="H9" i="5"/>
  <c r="H10" i="5"/>
  <c r="H11" i="5"/>
  <c r="I9" i="4"/>
  <c r="I10" i="4"/>
  <c r="I11" i="4"/>
  <c r="H9" i="4"/>
  <c r="H10" i="4"/>
  <c r="H11" i="4"/>
  <c r="D7" i="13"/>
  <c r="D6" i="13"/>
  <c r="E8" i="15"/>
  <c r="E9" i="15"/>
  <c r="E6" i="15"/>
  <c r="D8" i="15"/>
  <c r="D9" i="15"/>
  <c r="D6" i="15"/>
  <c r="C8" i="15"/>
  <c r="C9" i="15"/>
  <c r="C6" i="15"/>
  <c r="C22" i="13"/>
  <c r="E7" i="13"/>
  <c r="E6" i="13"/>
  <c r="C7" i="13"/>
  <c r="C6" i="13"/>
  <c r="C20" i="13"/>
  <c r="C25" i="11"/>
  <c r="C24" i="11"/>
  <c r="E9" i="11"/>
  <c r="E11" i="11"/>
  <c r="E6" i="11"/>
  <c r="E7" i="10"/>
  <c r="E8" i="10"/>
  <c r="E9" i="10"/>
  <c r="E11" i="10"/>
  <c r="E6" i="10"/>
  <c r="G7" i="10"/>
  <c r="G8" i="10"/>
  <c r="G9" i="10"/>
  <c r="G11" i="10"/>
  <c r="G6" i="10"/>
  <c r="D7" i="10"/>
  <c r="D8" i="10"/>
  <c r="D9" i="10"/>
  <c r="D11" i="10"/>
  <c r="D6" i="10"/>
  <c r="C7" i="10"/>
  <c r="C8" i="10"/>
  <c r="C9" i="10"/>
  <c r="C11" i="10"/>
  <c r="C6" i="10"/>
  <c r="C29" i="10"/>
  <c r="C28" i="10"/>
  <c r="C26" i="10"/>
  <c r="G7" i="9"/>
  <c r="D7" i="9"/>
  <c r="C7" i="9"/>
  <c r="C27" i="9"/>
  <c r="C26" i="9"/>
  <c r="C24" i="9"/>
  <c r="C27" i="8"/>
  <c r="C26" i="8"/>
  <c r="G7" i="8"/>
  <c r="G9" i="8"/>
  <c r="D7" i="8"/>
  <c r="D8" i="8"/>
  <c r="G8" i="8" s="1"/>
  <c r="D9" i="8"/>
  <c r="C7" i="8"/>
  <c r="C8" i="8"/>
  <c r="C9" i="8"/>
  <c r="C24" i="8"/>
  <c r="F10" i="7"/>
  <c r="F11" i="7"/>
  <c r="E10" i="7"/>
  <c r="E11" i="7"/>
  <c r="D10" i="7"/>
  <c r="D11" i="7"/>
  <c r="C23" i="7"/>
  <c r="C10" i="7" s="1"/>
  <c r="H10" i="7" s="1"/>
  <c r="F8" i="6"/>
  <c r="F9" i="6"/>
  <c r="F10" i="6"/>
  <c r="F11" i="6"/>
  <c r="E8" i="6"/>
  <c r="E9" i="6"/>
  <c r="E10" i="6"/>
  <c r="E11" i="6"/>
  <c r="D8" i="6"/>
  <c r="D9" i="6"/>
  <c r="D10" i="6"/>
  <c r="D11" i="6"/>
  <c r="C8" i="6"/>
  <c r="C9" i="6"/>
  <c r="C10" i="6"/>
  <c r="C11" i="6"/>
  <c r="C23" i="6"/>
  <c r="G9" i="5"/>
  <c r="G10" i="5"/>
  <c r="G11" i="5"/>
  <c r="F9" i="5"/>
  <c r="F10" i="5"/>
  <c r="F11" i="5"/>
  <c r="E9" i="5"/>
  <c r="E10" i="5"/>
  <c r="E11" i="5"/>
  <c r="D9" i="5"/>
  <c r="D10" i="5"/>
  <c r="D11" i="5"/>
  <c r="C9" i="5"/>
  <c r="C10" i="5"/>
  <c r="C11" i="5"/>
  <c r="C23" i="5"/>
  <c r="G9" i="4"/>
  <c r="G10" i="4"/>
  <c r="G11" i="4"/>
  <c r="F9" i="4"/>
  <c r="F10" i="4"/>
  <c r="F11" i="4"/>
  <c r="E9" i="4"/>
  <c r="E10" i="4"/>
  <c r="E11" i="4"/>
  <c r="D9" i="4"/>
  <c r="D10" i="4"/>
  <c r="D11" i="4"/>
  <c r="C9" i="4"/>
  <c r="C10" i="4"/>
  <c r="C11" i="4"/>
  <c r="C23" i="4"/>
  <c r="D9" i="3"/>
  <c r="D10" i="3"/>
  <c r="D11" i="3"/>
  <c r="E9" i="3"/>
  <c r="E10" i="3"/>
  <c r="E11" i="3"/>
  <c r="C9" i="3"/>
  <c r="C10" i="3"/>
  <c r="C11" i="3"/>
  <c r="C22" i="3"/>
  <c r="F8" i="2"/>
  <c r="F9" i="2"/>
  <c r="F10" i="2"/>
  <c r="D8" i="2"/>
  <c r="D9" i="2"/>
  <c r="D10" i="2"/>
  <c r="D6" i="14"/>
  <c r="F6" i="19"/>
  <c r="E8" i="2"/>
  <c r="E9" i="2"/>
  <c r="E10" i="2"/>
  <c r="C6" i="14"/>
  <c r="C8" i="2"/>
  <c r="C9" i="2"/>
  <c r="C10" i="2"/>
  <c r="C21" i="2"/>
  <c r="G7" i="13"/>
  <c r="C11" i="11"/>
  <c r="C9" i="11"/>
  <c r="C6" i="11"/>
  <c r="H11" i="10"/>
  <c r="H9" i="10"/>
  <c r="H8" i="10"/>
  <c r="H7" i="10"/>
  <c r="H6" i="10"/>
  <c r="E7" i="9"/>
  <c r="E7" i="8"/>
  <c r="E8" i="8"/>
  <c r="E9" i="8"/>
  <c r="C10" i="19"/>
  <c r="C9" i="19"/>
  <c r="C7" i="19"/>
  <c r="C6" i="19"/>
  <c r="D6" i="19" s="1"/>
  <c r="C5" i="19"/>
  <c r="G5" i="19" s="1"/>
  <c r="C11" i="7" l="1"/>
  <c r="H11" i="7" s="1"/>
  <c r="E6" i="14"/>
  <c r="D10" i="19"/>
  <c r="G10" i="19" s="1"/>
  <c r="F9" i="19"/>
  <c r="D9" i="19"/>
  <c r="G9" i="19" s="1"/>
  <c r="D7" i="19"/>
  <c r="F7" i="19"/>
  <c r="G6" i="19"/>
  <c r="B11" i="15"/>
  <c r="B10" i="15"/>
  <c r="B7" i="15"/>
  <c r="B11" i="14"/>
  <c r="B10" i="14"/>
  <c r="B9" i="14"/>
  <c r="B8" i="14"/>
  <c r="B7" i="14"/>
  <c r="C7" i="14" l="1"/>
  <c r="D7" i="14"/>
  <c r="C9" i="14"/>
  <c r="D9" i="14"/>
  <c r="C11" i="14"/>
  <c r="D11" i="14"/>
  <c r="D10" i="15"/>
  <c r="C10" i="15"/>
  <c r="C8" i="14"/>
  <c r="D8" i="14"/>
  <c r="C10" i="14"/>
  <c r="D10" i="14"/>
  <c r="C7" i="15"/>
  <c r="D7" i="15"/>
  <c r="C11" i="15"/>
  <c r="D11" i="15"/>
  <c r="B12" i="15"/>
  <c r="B12" i="14"/>
  <c r="F8" i="8"/>
  <c r="G7" i="19"/>
  <c r="D11" i="11"/>
  <c r="D9" i="11"/>
  <c r="D6" i="11"/>
  <c r="I11" i="10"/>
  <c r="J11" i="10" s="1"/>
  <c r="I9" i="10"/>
  <c r="J9" i="10" s="1"/>
  <c r="I8" i="10"/>
  <c r="J8" i="10" s="1"/>
  <c r="I7" i="10"/>
  <c r="J7" i="10" s="1"/>
  <c r="I6" i="10"/>
  <c r="J6" i="10" s="1"/>
  <c r="F7" i="9"/>
  <c r="F7" i="8"/>
  <c r="F9" i="8"/>
  <c r="F7" i="13"/>
  <c r="H7" i="13" s="1"/>
  <c r="F6" i="13"/>
  <c r="G6" i="13"/>
  <c r="B11" i="13"/>
  <c r="B10" i="13"/>
  <c r="B9" i="13"/>
  <c r="B8" i="13"/>
  <c r="C7" i="12"/>
  <c r="C11" i="12"/>
  <c r="C6" i="12"/>
  <c r="B10" i="12"/>
  <c r="C10" i="12" s="1"/>
  <c r="H48" i="1" s="1"/>
  <c r="B9" i="12"/>
  <c r="C9" i="12" s="1"/>
  <c r="H38" i="1" s="1"/>
  <c r="B8" i="12"/>
  <c r="B10" i="11"/>
  <c r="C10" i="11" s="1"/>
  <c r="B8" i="11"/>
  <c r="C8" i="11" s="1"/>
  <c r="B7" i="11"/>
  <c r="C7" i="11" s="1"/>
  <c r="B10" i="10"/>
  <c r="F10" i="10" s="1"/>
  <c r="B11" i="9"/>
  <c r="B10" i="9"/>
  <c r="B9" i="9"/>
  <c r="B8" i="9"/>
  <c r="B6" i="9"/>
  <c r="B11" i="8"/>
  <c r="B10" i="8"/>
  <c r="B6" i="8"/>
  <c r="B9" i="8"/>
  <c r="B7" i="7"/>
  <c r="B6" i="7"/>
  <c r="B9" i="7"/>
  <c r="B8" i="7"/>
  <c r="B8" i="6"/>
  <c r="B7" i="6"/>
  <c r="B6" i="6"/>
  <c r="B9" i="6"/>
  <c r="B8" i="5"/>
  <c r="H8" i="5" s="1"/>
  <c r="B7" i="5"/>
  <c r="B6" i="5"/>
  <c r="H6" i="5" s="1"/>
  <c r="B9" i="5"/>
  <c r="B8" i="4"/>
  <c r="H8" i="4" s="1"/>
  <c r="B7" i="4"/>
  <c r="H7" i="4" s="1"/>
  <c r="B6" i="4"/>
  <c r="H6" i="4" s="1"/>
  <c r="C8" i="19"/>
  <c r="G8" i="19" s="1"/>
  <c r="B9" i="4"/>
  <c r="B8" i="3"/>
  <c r="B7" i="3"/>
  <c r="B6" i="3"/>
  <c r="B9" i="3"/>
  <c r="B8" i="2"/>
  <c r="B7" i="2"/>
  <c r="D7" i="2" s="1"/>
  <c r="B6" i="2"/>
  <c r="D6" i="2" s="1"/>
  <c r="B5" i="2"/>
  <c r="D5" i="2" s="1"/>
  <c r="H7" i="5" l="1"/>
  <c r="C7" i="5"/>
  <c r="B12" i="5"/>
  <c r="J38" i="1"/>
  <c r="J48" i="1"/>
  <c r="E8" i="14"/>
  <c r="H30" i="1" s="1"/>
  <c r="I30" i="1" s="1"/>
  <c r="E9" i="14"/>
  <c r="H37" i="1" s="1"/>
  <c r="I37" i="1" s="1"/>
  <c r="E9" i="7"/>
  <c r="D9" i="7"/>
  <c r="C9" i="7"/>
  <c r="G9" i="7"/>
  <c r="F9" i="7"/>
  <c r="G8" i="7"/>
  <c r="F8" i="7"/>
  <c r="E8" i="7"/>
  <c r="D8" i="7"/>
  <c r="C8" i="7"/>
  <c r="H8" i="7" s="1"/>
  <c r="I38" i="1"/>
  <c r="I48" i="1"/>
  <c r="B12" i="12"/>
  <c r="C12" i="12" s="1"/>
  <c r="D7" i="11"/>
  <c r="E10" i="14"/>
  <c r="H46" i="1" s="1"/>
  <c r="E10" i="15"/>
  <c r="H47" i="1" s="1"/>
  <c r="E11" i="14"/>
  <c r="E7" i="14"/>
  <c r="H20" i="1" s="1"/>
  <c r="D7" i="3"/>
  <c r="C7" i="3"/>
  <c r="E7" i="3"/>
  <c r="F7" i="7"/>
  <c r="G7" i="7"/>
  <c r="E6" i="8"/>
  <c r="C6" i="8"/>
  <c r="D6" i="8"/>
  <c r="E8" i="9"/>
  <c r="C8" i="9"/>
  <c r="D8" i="9"/>
  <c r="E10" i="9"/>
  <c r="C10" i="9"/>
  <c r="D10" i="9"/>
  <c r="C8" i="12"/>
  <c r="H31" i="1" s="1"/>
  <c r="E8" i="13"/>
  <c r="D8" i="13"/>
  <c r="D6" i="3"/>
  <c r="C6" i="3"/>
  <c r="E6" i="3"/>
  <c r="B12" i="3"/>
  <c r="E8" i="3"/>
  <c r="D8" i="3"/>
  <c r="C8" i="3"/>
  <c r="F7" i="6"/>
  <c r="G7" i="6"/>
  <c r="F6" i="7"/>
  <c r="G6" i="7"/>
  <c r="E10" i="8"/>
  <c r="D10" i="8"/>
  <c r="C10" i="8"/>
  <c r="D6" i="9"/>
  <c r="C6" i="9"/>
  <c r="E9" i="9"/>
  <c r="D9" i="9"/>
  <c r="C9" i="9"/>
  <c r="E11" i="9"/>
  <c r="D11" i="9"/>
  <c r="C11" i="9"/>
  <c r="E7" i="11"/>
  <c r="G9" i="13"/>
  <c r="C9" i="13"/>
  <c r="D9" i="13"/>
  <c r="E9" i="13"/>
  <c r="E11" i="13"/>
  <c r="D11" i="13"/>
  <c r="D8" i="11"/>
  <c r="E8" i="11" s="1"/>
  <c r="D10" i="11"/>
  <c r="E10" i="11" s="1"/>
  <c r="H45" i="1" s="1"/>
  <c r="D12" i="15"/>
  <c r="C12" i="15"/>
  <c r="E11" i="15"/>
  <c r="H56" i="1" s="1"/>
  <c r="E7" i="15"/>
  <c r="H21" i="1" s="1"/>
  <c r="F6" i="6"/>
  <c r="G6" i="6"/>
  <c r="E11" i="8"/>
  <c r="C11" i="8"/>
  <c r="D11" i="8"/>
  <c r="E10" i="13"/>
  <c r="D10" i="13"/>
  <c r="G11" i="19"/>
  <c r="C12" i="14"/>
  <c r="D12" i="14"/>
  <c r="G10" i="10"/>
  <c r="E10" i="10"/>
  <c r="F6" i="5"/>
  <c r="D6" i="5"/>
  <c r="G6" i="5"/>
  <c r="E6" i="5"/>
  <c r="C6" i="5"/>
  <c r="G8" i="5"/>
  <c r="E8" i="5"/>
  <c r="C8" i="5"/>
  <c r="F8" i="5"/>
  <c r="D8" i="5"/>
  <c r="F7" i="5"/>
  <c r="D7" i="5"/>
  <c r="G7" i="5"/>
  <c r="E7" i="5"/>
  <c r="F6" i="4"/>
  <c r="G6" i="4"/>
  <c r="G8" i="4"/>
  <c r="F8" i="4"/>
  <c r="G7" i="4"/>
  <c r="F7" i="4"/>
  <c r="H6" i="13"/>
  <c r="G11" i="13"/>
  <c r="C11" i="13"/>
  <c r="G8" i="13"/>
  <c r="C8" i="13"/>
  <c r="G10" i="13"/>
  <c r="C10" i="13"/>
  <c r="F8" i="13"/>
  <c r="F10" i="13"/>
  <c r="F9" i="13"/>
  <c r="C10" i="10"/>
  <c r="D10" i="10"/>
  <c r="H10" i="10"/>
  <c r="B12" i="10"/>
  <c r="F12" i="10" s="1"/>
  <c r="I10" i="10"/>
  <c r="F11" i="9"/>
  <c r="F9" i="9"/>
  <c r="E6" i="9"/>
  <c r="B12" i="9"/>
  <c r="F6" i="9"/>
  <c r="F8" i="9"/>
  <c r="F10" i="9"/>
  <c r="F11" i="8"/>
  <c r="F10" i="8"/>
  <c r="F6" i="8"/>
  <c r="E7" i="7"/>
  <c r="C7" i="7"/>
  <c r="D7" i="7"/>
  <c r="E6" i="7"/>
  <c r="C6" i="7"/>
  <c r="D6" i="7"/>
  <c r="B12" i="7"/>
  <c r="E7" i="6"/>
  <c r="C7" i="6"/>
  <c r="D7" i="6"/>
  <c r="E6" i="6"/>
  <c r="C6" i="6"/>
  <c r="D6" i="6"/>
  <c r="B12" i="6"/>
  <c r="H12" i="5"/>
  <c r="E7" i="4"/>
  <c r="C7" i="4"/>
  <c r="D7" i="4"/>
  <c r="E6" i="4"/>
  <c r="C6" i="4"/>
  <c r="D6" i="4"/>
  <c r="B12" i="4"/>
  <c r="H12" i="4" s="1"/>
  <c r="D8" i="4"/>
  <c r="E8" i="4"/>
  <c r="C8" i="4"/>
  <c r="E6" i="2"/>
  <c r="C6" i="2"/>
  <c r="B11" i="2"/>
  <c r="D11" i="2" s="1"/>
  <c r="E5" i="2"/>
  <c r="C5" i="2"/>
  <c r="E7" i="2"/>
  <c r="C7" i="2"/>
  <c r="F11" i="13"/>
  <c r="B12" i="13"/>
  <c r="D12" i="13" s="1"/>
  <c r="B12" i="11"/>
  <c r="B12" i="8"/>
  <c r="I7" i="5" l="1"/>
  <c r="K48" i="1"/>
  <c r="K38" i="1"/>
  <c r="J45" i="1"/>
  <c r="H9" i="13"/>
  <c r="J31" i="1"/>
  <c r="J40" i="1"/>
  <c r="J51" i="1"/>
  <c r="J20" i="1"/>
  <c r="J37" i="1"/>
  <c r="K37" i="1" s="1"/>
  <c r="J46" i="1"/>
  <c r="J30" i="1"/>
  <c r="K30" i="1" s="1"/>
  <c r="J21" i="1"/>
  <c r="J47" i="1"/>
  <c r="J56" i="1"/>
  <c r="H9" i="7"/>
  <c r="I21" i="1"/>
  <c r="K21" i="1" s="1"/>
  <c r="I45" i="1"/>
  <c r="I20" i="1"/>
  <c r="I47" i="1"/>
  <c r="I56" i="1"/>
  <c r="I46" i="1"/>
  <c r="I51" i="1"/>
  <c r="I40" i="1"/>
  <c r="I31" i="1"/>
  <c r="F6" i="3"/>
  <c r="H4" i="1" s="1"/>
  <c r="H58" i="1"/>
  <c r="H55" i="1"/>
  <c r="F7" i="2"/>
  <c r="H24" i="1" s="1"/>
  <c r="F5" i="2"/>
  <c r="H3" i="1" s="1"/>
  <c r="I6" i="4"/>
  <c r="H5" i="1" s="1"/>
  <c r="H6" i="6"/>
  <c r="H7" i="1" s="1"/>
  <c r="H7" i="7"/>
  <c r="H18" i="1" s="1"/>
  <c r="H8" i="13"/>
  <c r="H32" i="1" s="1"/>
  <c r="E12" i="14"/>
  <c r="E12" i="15"/>
  <c r="C12" i="11"/>
  <c r="K6" i="11"/>
  <c r="L6" i="11" s="1"/>
  <c r="M6" i="11" s="1"/>
  <c r="K7" i="11"/>
  <c r="L7" i="11" s="1"/>
  <c r="M7" i="11" s="1"/>
  <c r="K8" i="11"/>
  <c r="M8" i="11" s="1"/>
  <c r="D12" i="11"/>
  <c r="F6" i="2"/>
  <c r="H13" i="1" s="1"/>
  <c r="I8" i="4"/>
  <c r="H26" i="1" s="1"/>
  <c r="I7" i="4"/>
  <c r="H15" i="1" s="1"/>
  <c r="H7" i="6"/>
  <c r="H17" i="1" s="1"/>
  <c r="F12" i="7"/>
  <c r="G12" i="7"/>
  <c r="H6" i="7"/>
  <c r="H8" i="1" s="1"/>
  <c r="H16" i="1"/>
  <c r="H6" i="1"/>
  <c r="G9" i="9"/>
  <c r="H36" i="1" s="1"/>
  <c r="G10" i="8"/>
  <c r="H42" i="1" s="1"/>
  <c r="F8" i="3"/>
  <c r="H25" i="1" s="1"/>
  <c r="G8" i="9"/>
  <c r="H28" i="1" s="1"/>
  <c r="F7" i="3"/>
  <c r="H14" i="1" s="1"/>
  <c r="D12" i="8"/>
  <c r="C12" i="8"/>
  <c r="F12" i="6"/>
  <c r="G12" i="6"/>
  <c r="C12" i="9"/>
  <c r="D12" i="9"/>
  <c r="H11" i="13"/>
  <c r="I8" i="5"/>
  <c r="H27" i="1" s="1"/>
  <c r="G11" i="8"/>
  <c r="H53" i="1" s="1"/>
  <c r="G11" i="9"/>
  <c r="H54" i="1" s="1"/>
  <c r="G6" i="9"/>
  <c r="H10" i="1" s="1"/>
  <c r="E12" i="3"/>
  <c r="D12" i="3"/>
  <c r="C12" i="3"/>
  <c r="L6" i="3"/>
  <c r="M6" i="3" s="1"/>
  <c r="G10" i="9"/>
  <c r="H43" i="1" s="1"/>
  <c r="G6" i="8"/>
  <c r="H9" i="1" s="1"/>
  <c r="J10" i="10"/>
  <c r="H44" i="1" s="1"/>
  <c r="G12" i="10"/>
  <c r="E12" i="10"/>
  <c r="G12" i="5"/>
  <c r="E12" i="5"/>
  <c r="C12" i="5"/>
  <c r="F12" i="5"/>
  <c r="D12" i="5"/>
  <c r="G12" i="4"/>
  <c r="F12" i="4"/>
  <c r="C12" i="13"/>
  <c r="E12" i="13"/>
  <c r="H10" i="13"/>
  <c r="H49" i="1" s="1"/>
  <c r="C12" i="10"/>
  <c r="D12" i="10"/>
  <c r="H12" i="10"/>
  <c r="P8" i="10"/>
  <c r="R8" i="10" s="1"/>
  <c r="P7" i="10"/>
  <c r="Q7" i="10" s="1"/>
  <c r="R7" i="10" s="1"/>
  <c r="P6" i="10"/>
  <c r="Q6" i="10" s="1"/>
  <c r="R6" i="10" s="1"/>
  <c r="I12" i="10"/>
  <c r="E12" i="9"/>
  <c r="M8" i="9"/>
  <c r="O8" i="9" s="1"/>
  <c r="M7" i="9"/>
  <c r="N7" i="9" s="1"/>
  <c r="O7" i="9" s="1"/>
  <c r="M6" i="9"/>
  <c r="N6" i="9" s="1"/>
  <c r="O6" i="9" s="1"/>
  <c r="F12" i="9"/>
  <c r="E12" i="8"/>
  <c r="F12" i="8"/>
  <c r="D12" i="7"/>
  <c r="E12" i="7"/>
  <c r="C12" i="7"/>
  <c r="N6" i="7"/>
  <c r="O6" i="7" s="1"/>
  <c r="D12" i="6"/>
  <c r="E12" i="6"/>
  <c r="C12" i="6"/>
  <c r="N6" i="6"/>
  <c r="O6" i="6" s="1"/>
  <c r="O6" i="5"/>
  <c r="D12" i="4"/>
  <c r="E12" i="4"/>
  <c r="C12" i="4"/>
  <c r="O6" i="4"/>
  <c r="L5" i="2"/>
  <c r="M5" i="2" s="1"/>
  <c r="E11" i="2"/>
  <c r="C11" i="2"/>
  <c r="G12" i="13"/>
  <c r="F12" i="13"/>
  <c r="N7" i="13"/>
  <c r="O7" i="13" s="1"/>
  <c r="P7" i="13" s="1"/>
  <c r="N6" i="13"/>
  <c r="O6" i="13" s="1"/>
  <c r="P6" i="13" s="1"/>
  <c r="M7" i="8"/>
  <c r="N7" i="8" s="1"/>
  <c r="O7" i="8" s="1"/>
  <c r="M6" i="8"/>
  <c r="N6" i="8" s="1"/>
  <c r="O6" i="8" s="1"/>
  <c r="M8" i="8"/>
  <c r="O8" i="8" s="1"/>
  <c r="K45" i="1" l="1"/>
  <c r="K12" i="10"/>
  <c r="J12" i="5"/>
  <c r="K40" i="1"/>
  <c r="K20" i="1"/>
  <c r="K31" i="1"/>
  <c r="K46" i="1"/>
  <c r="K51" i="1"/>
  <c r="K47" i="1"/>
  <c r="J10" i="1"/>
  <c r="J28" i="1"/>
  <c r="J13" i="1"/>
  <c r="J32" i="1"/>
  <c r="J4" i="1"/>
  <c r="J49" i="1"/>
  <c r="J44" i="1"/>
  <c r="J54" i="1"/>
  <c r="J25" i="1"/>
  <c r="J24" i="1"/>
  <c r="J9" i="1"/>
  <c r="J53" i="1"/>
  <c r="J42" i="1"/>
  <c r="J15" i="1"/>
  <c r="J43" i="1"/>
  <c r="J14" i="1"/>
  <c r="J36" i="1"/>
  <c r="J26" i="1"/>
  <c r="J5" i="1"/>
  <c r="K56" i="1"/>
  <c r="J58" i="1"/>
  <c r="J55" i="1"/>
  <c r="J7" i="1"/>
  <c r="J17" i="1"/>
  <c r="J8" i="1"/>
  <c r="J18" i="1"/>
  <c r="J27" i="1"/>
  <c r="J16" i="1"/>
  <c r="J6" i="1"/>
  <c r="J3" i="1"/>
  <c r="I44" i="1"/>
  <c r="I9" i="1"/>
  <c r="I10" i="1"/>
  <c r="I53" i="1"/>
  <c r="I28" i="1"/>
  <c r="I42" i="1"/>
  <c r="I6" i="1"/>
  <c r="K6" i="1" s="1"/>
  <c r="I8" i="1"/>
  <c r="I13" i="1"/>
  <c r="I32" i="1"/>
  <c r="K32" i="1" s="1"/>
  <c r="I7" i="1"/>
  <c r="I3" i="1"/>
  <c r="K3" i="1" s="1"/>
  <c r="I55" i="1"/>
  <c r="K55" i="1" s="1"/>
  <c r="I4" i="1"/>
  <c r="I49" i="1"/>
  <c r="I43" i="1"/>
  <c r="I54" i="1"/>
  <c r="K54" i="1" s="1"/>
  <c r="I27" i="1"/>
  <c r="I14" i="1"/>
  <c r="I25" i="1"/>
  <c r="I16" i="1"/>
  <c r="I17" i="1"/>
  <c r="K17" i="1" s="1"/>
  <c r="I18" i="1"/>
  <c r="K18" i="1" s="1"/>
  <c r="I24" i="1"/>
  <c r="I58" i="1"/>
  <c r="I26" i="1"/>
  <c r="I5" i="1"/>
  <c r="I15" i="1"/>
  <c r="F11" i="2"/>
  <c r="I12" i="4"/>
  <c r="F12" i="3"/>
  <c r="I36" i="1"/>
  <c r="H59" i="1"/>
  <c r="H57" i="1"/>
  <c r="H22" i="1"/>
  <c r="H11" i="1"/>
  <c r="H12" i="6"/>
  <c r="H12" i="7"/>
  <c r="I12" i="5"/>
  <c r="G12" i="9"/>
  <c r="G12" i="8"/>
  <c r="E12" i="11"/>
  <c r="F12" i="11" s="1"/>
  <c r="J12" i="10"/>
  <c r="H12" i="13"/>
  <c r="E60" i="1"/>
  <c r="E51" i="1"/>
  <c r="E50" i="1"/>
  <c r="E40" i="1"/>
  <c r="E39" i="1"/>
  <c r="E33" i="1"/>
  <c r="E22" i="1"/>
  <c r="K16" i="1" l="1"/>
  <c r="K43" i="1"/>
  <c r="K28" i="1"/>
  <c r="K42" i="1"/>
  <c r="K15" i="1"/>
  <c r="K24" i="1"/>
  <c r="K25" i="1"/>
  <c r="K13" i="1"/>
  <c r="K44" i="1"/>
  <c r="K14" i="1"/>
  <c r="K8" i="1"/>
  <c r="K5" i="1"/>
  <c r="K26" i="1"/>
  <c r="K10" i="1"/>
  <c r="K36" i="1"/>
  <c r="K58" i="1"/>
  <c r="K49" i="1"/>
  <c r="K53" i="1"/>
  <c r="K27" i="1"/>
  <c r="K34" i="1"/>
  <c r="K7" i="1"/>
  <c r="K4" i="1"/>
  <c r="K9" i="1"/>
  <c r="J59" i="1"/>
  <c r="J57" i="1"/>
  <c r="J39" i="1"/>
  <c r="J50" i="1"/>
  <c r="J11" i="1"/>
  <c r="J22" i="1"/>
  <c r="E62" i="1"/>
  <c r="E63" i="1"/>
  <c r="I50" i="1"/>
  <c r="I59" i="1"/>
  <c r="I39" i="1"/>
  <c r="I11" i="1"/>
  <c r="I22" i="1"/>
  <c r="H60" i="1"/>
  <c r="H63" i="1" s="1"/>
  <c r="I57" i="1"/>
  <c r="E2" i="1"/>
  <c r="K22" i="1" l="1"/>
  <c r="K50" i="1"/>
  <c r="K59" i="1"/>
  <c r="K11" i="1"/>
  <c r="K57" i="1"/>
  <c r="J63" i="1"/>
  <c r="I63" i="1"/>
  <c r="H62" i="1"/>
  <c r="J60" i="1"/>
  <c r="I60" i="1"/>
  <c r="K63" i="1" l="1"/>
  <c r="K60" i="1"/>
  <c r="J62" i="1"/>
  <c r="I62" i="1"/>
  <c r="K62" i="1" l="1"/>
</calcChain>
</file>

<file path=xl/sharedStrings.xml><?xml version="1.0" encoding="utf-8"?>
<sst xmlns="http://schemas.openxmlformats.org/spreadsheetml/2006/main" count="896" uniqueCount="238">
  <si>
    <t>OBJECTID</t>
  </si>
  <si>
    <t>FREQUENCY</t>
  </si>
  <si>
    <t>Cross_Sect</t>
  </si>
  <si>
    <t>A-1</t>
  </si>
  <si>
    <t>A-2</t>
  </si>
  <si>
    <t>A-3</t>
  </si>
  <si>
    <t>A-4</t>
  </si>
  <si>
    <t>A-5</t>
  </si>
  <si>
    <t>A-6</t>
  </si>
  <si>
    <t>B-1</t>
  </si>
  <si>
    <t>B-2</t>
  </si>
  <si>
    <t>B-4</t>
  </si>
  <si>
    <t>Br-A</t>
  </si>
  <si>
    <t>Br-B</t>
  </si>
  <si>
    <t>C-1</t>
  </si>
  <si>
    <t>D-1</t>
  </si>
  <si>
    <t>B-3</t>
  </si>
  <si>
    <t>Shape_Length_ft</t>
  </si>
  <si>
    <t>Miles</t>
  </si>
  <si>
    <t>Total</t>
  </si>
  <si>
    <t>Alternative</t>
  </si>
  <si>
    <t>MINAM to WALLOWA</t>
  </si>
  <si>
    <t>WALLOWA to LOSTINE</t>
  </si>
  <si>
    <t>LOSTINE to ENTERPRISE</t>
  </si>
  <si>
    <t>ENTERPRISE to JOSEPH</t>
  </si>
  <si>
    <t>TOTAL</t>
  </si>
  <si>
    <t>Overage is due to GIS layer overlap.  3% error rate.</t>
  </si>
  <si>
    <t>Notes</t>
  </si>
  <si>
    <t>Costs per linear foot should include materials and contractor costs</t>
  </si>
  <si>
    <t>Cost per road crossing</t>
  </si>
  <si>
    <t>Cost per culvert crossing</t>
  </si>
  <si>
    <t>Cost per trail head</t>
  </si>
  <si>
    <t>Item</t>
  </si>
  <si>
    <t>Cost</t>
  </si>
  <si>
    <t>copied from Salmonberry trail</t>
  </si>
  <si>
    <t>Permitting Costs</t>
  </si>
  <si>
    <t>Design Costs</t>
  </si>
  <si>
    <t>Contingecy cost of 35-40 percent (make a separate column showing this addition)</t>
  </si>
  <si>
    <t>Add 30-50% to cost if assuming federal funding</t>
  </si>
  <si>
    <t>I can provide you with general cost per linear foot, but they would not be project specific.  These costs assume a contractor completing the construction and do not include permitting, engineering, etc.</t>
  </si>
  <si>
    <t>(low)General Natural Surface Trail (3 ft wide):  $6-10 per lf</t>
  </si>
  <si>
    <t>(middle)General Compacted Gravel Trail (3 ft wide):  $10-15 per lf</t>
  </si>
  <si>
    <t>General Paved Trail (8 ft wide):  $20-40 per lf</t>
  </si>
  <si>
    <t>General Paved Trail – Constrained (8 ft wide):  $75 - $300 per lf</t>
  </si>
  <si>
    <t>There is a lot of variation depending on access, topography, soil type, etc.  We will not have better cost estimates until we get closer to the end of the project.</t>
  </si>
  <si>
    <t>Here are some general notes from Rocky to check/compare to your estimates</t>
  </si>
  <si>
    <r>
      <t>A</t>
    </r>
    <r>
      <rPr>
        <sz val="11"/>
        <color rgb="FF222222"/>
        <rFont val="Calibri"/>
        <family val="2"/>
        <scheme val="minor"/>
      </rPr>
      <t> “Primitive” Trails</t>
    </r>
  </si>
  <si>
    <r>
      <t>·</t>
    </r>
    <r>
      <rPr>
        <sz val="7"/>
        <color rgb="FF222222"/>
        <rFont val="Times New Roman"/>
        <family val="1"/>
      </rPr>
      <t>         </t>
    </r>
    <r>
      <rPr>
        <sz val="9.5"/>
        <color rgb="FF222222"/>
        <rFont val="Arial"/>
        <family val="2"/>
      </rPr>
      <t>Width:  3 ft</t>
    </r>
  </si>
  <si>
    <r>
      <t>·</t>
    </r>
    <r>
      <rPr>
        <sz val="7"/>
        <color rgb="FF222222"/>
        <rFont val="Times New Roman"/>
        <family val="1"/>
      </rPr>
      <t>         </t>
    </r>
    <r>
      <rPr>
        <sz val="9.5"/>
        <color rgb="FF222222"/>
        <rFont val="Arial"/>
        <family val="2"/>
      </rPr>
      <t>Surface:  natural surface</t>
    </r>
  </si>
  <si>
    <r>
      <t>·</t>
    </r>
    <r>
      <rPr>
        <sz val="7"/>
        <color rgb="FF222222"/>
        <rFont val="Times New Roman"/>
        <family val="1"/>
      </rPr>
      <t>         </t>
    </r>
    <r>
      <rPr>
        <sz val="9.5"/>
        <color rgb="FF222222"/>
        <rFont val="Arial"/>
        <family val="2"/>
      </rPr>
      <t>Retaining structures</t>
    </r>
  </si>
  <si>
    <r>
      <t>o</t>
    </r>
    <r>
      <rPr>
        <sz val="7"/>
        <color rgb="FF222222"/>
        <rFont val="Times New Roman"/>
        <family val="1"/>
      </rPr>
      <t>   </t>
    </r>
    <r>
      <rPr>
        <sz val="9.5"/>
        <color rgb="FF222222"/>
        <rFont val="Arial"/>
        <family val="2"/>
      </rPr>
      <t>A-4 – gabian baskets as default</t>
    </r>
  </si>
  <si>
    <r>
      <t>o</t>
    </r>
    <r>
      <rPr>
        <sz val="7"/>
        <color rgb="FF222222"/>
        <rFont val="Times New Roman"/>
        <family val="1"/>
      </rPr>
      <t>   </t>
    </r>
    <r>
      <rPr>
        <sz val="9.5"/>
        <color rgb="FF222222"/>
        <rFont val="Arial"/>
        <family val="2"/>
      </rPr>
      <t>A-6 – assume cut only, no structures above</t>
    </r>
  </si>
  <si>
    <r>
      <t>B</t>
    </r>
    <r>
      <rPr>
        <sz val="11"/>
        <color rgb="FF222222"/>
        <rFont val="Calibri"/>
        <family val="2"/>
        <scheme val="minor"/>
      </rPr>
      <t> “Improved” Trails</t>
    </r>
  </si>
  <si>
    <r>
      <t>·</t>
    </r>
    <r>
      <rPr>
        <sz val="7"/>
        <color rgb="FF222222"/>
        <rFont val="Times New Roman"/>
        <family val="1"/>
      </rPr>
      <t>         </t>
    </r>
    <r>
      <rPr>
        <sz val="9.5"/>
        <color rgb="FF222222"/>
        <rFont val="Arial"/>
        <family val="2"/>
      </rPr>
      <t>Width:  5 ft</t>
    </r>
  </si>
  <si>
    <r>
      <t>·</t>
    </r>
    <r>
      <rPr>
        <sz val="7"/>
        <color rgb="FF222222"/>
        <rFont val="Times New Roman"/>
        <family val="1"/>
      </rPr>
      <t>         </t>
    </r>
    <r>
      <rPr>
        <sz val="9.5"/>
        <color rgb="FF222222"/>
        <rFont val="Arial"/>
        <family val="2"/>
      </rPr>
      <t>Surface:  compacted gravel</t>
    </r>
  </si>
  <si>
    <r>
      <t>o</t>
    </r>
    <r>
      <rPr>
        <sz val="7"/>
        <color rgb="FF222222"/>
        <rFont val="Times New Roman"/>
        <family val="1"/>
      </rPr>
      <t>   </t>
    </r>
    <r>
      <rPr>
        <sz val="9.5"/>
        <color rgb="FF222222"/>
        <rFont val="Arial"/>
        <family val="2"/>
      </rPr>
      <t>4” ¾” minus base</t>
    </r>
  </si>
  <si>
    <r>
      <t>o</t>
    </r>
    <r>
      <rPr>
        <sz val="7"/>
        <color rgb="FF222222"/>
        <rFont val="Times New Roman"/>
        <family val="1"/>
      </rPr>
      <t>   </t>
    </r>
    <r>
      <rPr>
        <sz val="9.5"/>
        <color rgb="FF222222"/>
        <rFont val="Arial"/>
        <family val="2"/>
      </rPr>
      <t>2” minimum ¼” minus or decomposed granite (if local source, preferred surface)</t>
    </r>
  </si>
  <si>
    <r>
      <t>o</t>
    </r>
    <r>
      <rPr>
        <sz val="7"/>
        <color rgb="FF222222"/>
        <rFont val="Times New Roman"/>
        <family val="1"/>
      </rPr>
      <t>   </t>
    </r>
    <r>
      <rPr>
        <sz val="9.5"/>
        <color rgb="FF222222"/>
        <rFont val="Arial"/>
        <family val="2"/>
      </rPr>
      <t>2:1 shoulders</t>
    </r>
  </si>
  <si>
    <r>
      <t>o</t>
    </r>
    <r>
      <rPr>
        <sz val="7"/>
        <color rgb="FF222222"/>
        <rFont val="Times New Roman"/>
        <family val="1"/>
      </rPr>
      <t>   </t>
    </r>
    <r>
      <rPr>
        <sz val="9.5"/>
        <color rgb="FF222222"/>
        <rFont val="Arial"/>
        <family val="2"/>
      </rPr>
      <t>B-3 – gabian baskets as default</t>
    </r>
  </si>
  <si>
    <r>
      <t>D</t>
    </r>
    <r>
      <rPr>
        <sz val="11"/>
        <color rgb="FF222222"/>
        <rFont val="Calibri"/>
        <family val="2"/>
        <scheme val="minor"/>
      </rPr>
      <t> “Developed” Trails</t>
    </r>
  </si>
  <si>
    <r>
      <t>·</t>
    </r>
    <r>
      <rPr>
        <sz val="7"/>
        <color rgb="FF222222"/>
        <rFont val="Times New Roman"/>
        <family val="1"/>
      </rPr>
      <t>         </t>
    </r>
    <r>
      <rPr>
        <sz val="9.5"/>
        <color rgb="FF222222"/>
        <rFont val="Arial"/>
        <family val="2"/>
      </rPr>
      <t>Width:  10 ft</t>
    </r>
  </si>
  <si>
    <r>
      <t>·</t>
    </r>
    <r>
      <rPr>
        <sz val="7"/>
        <color rgb="FF222222"/>
        <rFont val="Times New Roman"/>
        <family val="1"/>
      </rPr>
      <t>         </t>
    </r>
    <r>
      <rPr>
        <sz val="9.5"/>
        <color rgb="FF222222"/>
        <rFont val="Arial"/>
        <family val="2"/>
      </rPr>
      <t>Surface:  paved surface</t>
    </r>
  </si>
  <si>
    <r>
      <t>o</t>
    </r>
    <r>
      <rPr>
        <sz val="7"/>
        <color rgb="FF222222"/>
        <rFont val="Times New Roman"/>
        <family val="1"/>
      </rPr>
      <t>   </t>
    </r>
    <r>
      <rPr>
        <sz val="9.5"/>
        <color rgb="FF222222"/>
        <rFont val="Arial"/>
        <family val="2"/>
      </rPr>
      <t>6” minimum base ¾” minus</t>
    </r>
  </si>
  <si>
    <r>
      <t>o</t>
    </r>
    <r>
      <rPr>
        <sz val="7"/>
        <color rgb="FF222222"/>
        <rFont val="Times New Roman"/>
        <family val="1"/>
      </rPr>
      <t>   </t>
    </r>
    <r>
      <rPr>
        <sz val="9.5"/>
        <color rgb="FF222222"/>
        <rFont val="Arial"/>
        <family val="2"/>
      </rPr>
      <t>4” asphaltic concrete</t>
    </r>
  </si>
  <si>
    <t>Section</t>
  </si>
  <si>
    <t>Elgin to Looking Glass</t>
  </si>
  <si>
    <t>Looking Glass to Minam</t>
  </si>
  <si>
    <t>Minam to Wallowa</t>
  </si>
  <si>
    <t>Wallowa to Lostine</t>
  </si>
  <si>
    <t>Lostine to Enterprise</t>
  </si>
  <si>
    <t>Enterprise to Joseph</t>
  </si>
  <si>
    <t>Length (ft)</t>
  </si>
  <si>
    <t>A1- 3' Natural Surface</t>
  </si>
  <si>
    <t>Costs</t>
  </si>
  <si>
    <t>Unit</t>
  </si>
  <si>
    <t>LF</t>
  </si>
  <si>
    <t>Assumptions:</t>
  </si>
  <si>
    <t>From Salmonberry</t>
  </si>
  <si>
    <t>A2- 3' Natural Surface</t>
  </si>
  <si>
    <t>A3- 3' Natural Surface</t>
  </si>
  <si>
    <t>Cut</t>
  </si>
  <si>
    <t>Fill</t>
  </si>
  <si>
    <t>Estimates for the cut and fill come from Salmonberry.</t>
  </si>
  <si>
    <t>Material</t>
  </si>
  <si>
    <t>Natural surface</t>
  </si>
  <si>
    <t>Depth</t>
  </si>
  <si>
    <t>Depth (in)</t>
  </si>
  <si>
    <t>Material Costs</t>
  </si>
  <si>
    <t>3/4" minus base</t>
  </si>
  <si>
    <t>References</t>
  </si>
  <si>
    <t>Reference</t>
  </si>
  <si>
    <t>http://atfiles.org/files/pdf/designbonneville.pdf</t>
  </si>
  <si>
    <t>Reference mentioned that 3' trails can be 4 times more expensive due to machinery incapability to service small pathway. Hand labor may be required. (2002 reference)</t>
  </si>
  <si>
    <t>http://www.gravelproductsinc.com/SandnGravel.html</t>
  </si>
  <si>
    <t>Aggregate material prices</t>
  </si>
  <si>
    <t>http://portlandrock.net/local-gravels-and-river-rock.html</t>
  </si>
  <si>
    <t>1/4" minus</t>
  </si>
  <si>
    <t>decomposed granite</t>
  </si>
  <si>
    <t>3/4" minus</t>
  </si>
  <si>
    <t>Type</t>
  </si>
  <si>
    <t>A</t>
  </si>
  <si>
    <t>B</t>
  </si>
  <si>
    <t>D</t>
  </si>
  <si>
    <t>Nat. Surface</t>
  </si>
  <si>
    <t>A4- 3' Natural Surface</t>
  </si>
  <si>
    <t>A5- 3' Natural Surface</t>
  </si>
  <si>
    <t>A6- 3' Natural Surface</t>
  </si>
  <si>
    <t>B1- 5' Improved Surface</t>
  </si>
  <si>
    <t>Material Cost</t>
  </si>
  <si>
    <t>B2- 5' Improved Surface</t>
  </si>
  <si>
    <t>B3- 5' Improved Surface</t>
  </si>
  <si>
    <t>B4- 5' Improved Surface</t>
  </si>
  <si>
    <t>D1- 10' Paved Surface</t>
  </si>
  <si>
    <t>Asphaltic Cement</t>
  </si>
  <si>
    <t>Decomposed Granite</t>
  </si>
  <si>
    <t>BR-A</t>
  </si>
  <si>
    <t>BR-B</t>
  </si>
  <si>
    <t>Volume (CY)</t>
  </si>
  <si>
    <t>Asphaltic concrete</t>
  </si>
  <si>
    <t>Asphaltic Concrete</t>
  </si>
  <si>
    <t>CY</t>
  </si>
  <si>
    <t>Ton</t>
  </si>
  <si>
    <t>Cost per Unit</t>
  </si>
  <si>
    <t>Tons</t>
  </si>
  <si>
    <t>Weight (Tons)</t>
  </si>
  <si>
    <t>Includes cost of construction</t>
  </si>
  <si>
    <t>Weight (tons)</t>
  </si>
  <si>
    <t>1.4 Tons per cubic yard of 1/4" minus and 3/4" minus</t>
  </si>
  <si>
    <t>Prices come from attached bid tabs</t>
  </si>
  <si>
    <t>Notes:</t>
  </si>
  <si>
    <t>Prices from bid tabs include construction and material</t>
  </si>
  <si>
    <t>Salmonberry costs apply</t>
  </si>
  <si>
    <t>The methodolgy used to come up with unit costs was to examine old bid tabs and for projects of similar magnitude the three lowest bids were averaged. A 4% inflation rate was applied per each year since construction.</t>
  </si>
  <si>
    <t>Topsoil Type C (10% of Length)</t>
  </si>
  <si>
    <t>Topsoil Type C is specified as topsoil similar to the native topsoil, but imported from elsewhere by the contractor.</t>
  </si>
  <si>
    <t>10% of Type C topsoil will be imported</t>
  </si>
  <si>
    <t>2.025 tons per cubic yard for asphalt</t>
  </si>
  <si>
    <t>Decking</t>
  </si>
  <si>
    <t>Pedestrian rail cost from bid tabs</t>
  </si>
  <si>
    <t>After reviewing bid tabs, no definitive topsoil cost can be determined. An average cost of $20/CY will be applied.</t>
  </si>
  <si>
    <t>Cost Per Unit</t>
  </si>
  <si>
    <t>Clearing and Grubbing</t>
  </si>
  <si>
    <t>Acre</t>
  </si>
  <si>
    <t>Obtained from bid tabs, Streets or roads, pg. 11</t>
  </si>
  <si>
    <t>Pedestrian Fence</t>
  </si>
  <si>
    <t>Unit Price</t>
  </si>
  <si>
    <t>From bid tabs</t>
  </si>
  <si>
    <t>Type C Topsoil</t>
  </si>
  <si>
    <t>SF</t>
  </si>
  <si>
    <t>Total Cost</t>
  </si>
  <si>
    <t>From http://www.gtcmpo.org/Docs/PlansStudies/Erie-Attica%20RR%20Bridge%20and%20Trail%20Conversion%20Study.pdf</t>
  </si>
  <si>
    <t>Width between rails =5', assume 5' trail width</t>
  </si>
  <si>
    <t>Unit cost from general average of bid tabs</t>
  </si>
  <si>
    <t>NA</t>
  </si>
  <si>
    <t>Excavation</t>
  </si>
  <si>
    <t>Excavation+Grading</t>
  </si>
  <si>
    <t>General Average from bid tabs</t>
  </si>
  <si>
    <t>EACH</t>
  </si>
  <si>
    <t>Excavation+Grading+Finishing</t>
  </si>
  <si>
    <t>Retaining Wall</t>
  </si>
  <si>
    <t>From bid tabs, assume 3 SF for every LF</t>
  </si>
  <si>
    <t>From Salmonberry, twice the amount of SF being cut</t>
  </si>
  <si>
    <t>3/4" Minus</t>
  </si>
  <si>
    <t>1/4" Minus</t>
  </si>
  <si>
    <t>Obtained from bid tabs (High wall, 5 SF per LF)</t>
  </si>
  <si>
    <t>From Salmonberry, about 1.5 times the amount of cut</t>
  </si>
  <si>
    <t>Unit Cost</t>
  </si>
  <si>
    <t>Shared Roadway</t>
  </si>
  <si>
    <t>C1- Shared Roadway</t>
  </si>
  <si>
    <t>Bid tabs</t>
  </si>
  <si>
    <t>Restoration</t>
  </si>
  <si>
    <t>From Salmonberry (occurs wherever there is cut or fill)</t>
  </si>
  <si>
    <t>Road Sign</t>
  </si>
  <si>
    <t>C</t>
  </si>
  <si>
    <t>Depth (inches)</t>
  </si>
  <si>
    <t>Depth(inches)</t>
  </si>
  <si>
    <t>4% inflation applied to prices from bid tabs</t>
  </si>
  <si>
    <t>Road Crossing</t>
  </si>
  <si>
    <t>Yield to traffic sign</t>
  </si>
  <si>
    <t>Trail crossing warning sign</t>
  </si>
  <si>
    <t>Painted Crosswalk Line</t>
  </si>
  <si>
    <t>Cost per Crossing</t>
  </si>
  <si>
    <t>Total costs don't include miscellaneous costs.</t>
  </si>
  <si>
    <t>40% Contingency</t>
  </si>
  <si>
    <t>Bid Tabs</t>
  </si>
  <si>
    <t>20% Design Engineering</t>
  </si>
  <si>
    <t>Design Engineering, Legal, administration, and construction engineering cost of 20%</t>
  </si>
  <si>
    <t>Cost per Road Sign</t>
  </si>
  <si>
    <t>20% of estimated costs</t>
  </si>
  <si>
    <t>Standard cost from AP projects</t>
  </si>
  <si>
    <t>Sign alerting trail user to yield to highway trafffic</t>
  </si>
  <si>
    <t>Sign alerting highway vehicles of trail crossing</t>
  </si>
  <si>
    <t>See breakdown below</t>
  </si>
  <si>
    <t>LOOKINGGLASS to MINAM</t>
  </si>
  <si>
    <t>ELGIN to LOOKINGGLASS</t>
  </si>
  <si>
    <t>TOTAL using Alternatives</t>
  </si>
  <si>
    <t>Revised</t>
  </si>
  <si>
    <t xml:space="preserve">New </t>
  </si>
  <si>
    <t>New</t>
  </si>
  <si>
    <r>
      <t xml:space="preserve">Turn this into all </t>
    </r>
    <r>
      <rPr>
        <b/>
        <sz val="11"/>
        <color theme="1"/>
        <rFont val="Tahoma"/>
        <family val="2"/>
      </rPr>
      <t>A-4</t>
    </r>
  </si>
  <si>
    <r>
      <t>Turn this into all</t>
    </r>
    <r>
      <rPr>
        <b/>
        <sz val="11"/>
        <color theme="1"/>
        <rFont val="Tahoma"/>
        <family val="2"/>
      </rPr>
      <t xml:space="preserve"> B-3</t>
    </r>
  </si>
  <si>
    <t>Maintenance</t>
  </si>
  <si>
    <t>$ per year ($ 500 per mile 5280 LF)</t>
  </si>
  <si>
    <t>$ per year ($ 1000 per mile 5280 LF)</t>
  </si>
  <si>
    <t>$ per year ($ 5250 per mile 5280 LF)</t>
  </si>
  <si>
    <t>Maintenance Cost</t>
  </si>
  <si>
    <t>unit cost</t>
  </si>
  <si>
    <t>moved to A-4</t>
  </si>
  <si>
    <t>Segment</t>
  </si>
  <si>
    <t>Primitive 3 foot wide trail</t>
  </si>
  <si>
    <t xml:space="preserve"> $    5.30 - 45.30</t>
  </si>
  <si>
    <t>A1-A6</t>
  </si>
  <si>
    <t>Improved Trail</t>
  </si>
  <si>
    <t xml:space="preserve"> $  10.53 - 40.53</t>
  </si>
  <si>
    <t>B1-B3</t>
  </si>
  <si>
    <t>Shared Use Road</t>
  </si>
  <si>
    <t>Developed Trail</t>
  </si>
  <si>
    <t>Bridge Crossing</t>
  </si>
  <si>
    <t>BrA - BrB</t>
  </si>
  <si>
    <t>Culvert Crossing</t>
  </si>
  <si>
    <t>Trailhead</t>
  </si>
  <si>
    <t>High Retaining Wall (B-3)</t>
  </si>
  <si>
    <t>Low Retaining Wall (A-4)</t>
  </si>
  <si>
    <t>Elgin to Lookingglass (Rail)</t>
  </si>
  <si>
    <t>Lookingglass to Minam (Rail)</t>
  </si>
  <si>
    <t>Minam to Wallowa (Rail)</t>
  </si>
  <si>
    <t>Minam to Wallowa (County Road)</t>
  </si>
  <si>
    <t>Wallowa to Lostine (Rail)</t>
  </si>
  <si>
    <t>Wallowa to Lostine (County Road)</t>
  </si>
  <si>
    <t>Lostine to Enterprise (Rail)</t>
  </si>
  <si>
    <t>Lostine to Enterprise (County Road)</t>
  </si>
  <si>
    <t>Enterprise to Joseph (Rail)</t>
  </si>
  <si>
    <t>Total (Rail)</t>
  </si>
  <si>
    <t>Total (County Road)</t>
  </si>
  <si>
    <t>Cost per year</t>
  </si>
  <si>
    <t>$ per year ($ 100 per mile 5280 LF)</t>
  </si>
  <si>
    <t xml:space="preserve">Note: Trail amenities, road crossings, culvert work, fencing, etc. are not included in this estimate.  </t>
  </si>
  <si>
    <t>Note: Cut, fill, clearing and grubbing, and material costs are included in linear foot trail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</si>
</sst>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&quot;$&quot;#,##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i/>
      <sz val="11"/>
      <color theme="1"/>
      <name val="Tahoma"/>
      <family val="2"/>
    </font>
    <font>
      <sz val="12.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9.5"/>
      <color rgb="FF222222"/>
      <name val="Symbol"/>
      <family val="1"/>
      <charset val="2"/>
    </font>
    <font>
      <sz val="7"/>
      <color rgb="FF222222"/>
      <name val="Times New Roman"/>
      <family val="1"/>
    </font>
    <font>
      <sz val="9.5"/>
      <color rgb="FF222222"/>
      <name val="Arial"/>
      <family val="2"/>
    </font>
    <font>
      <sz val="9.5"/>
      <color rgb="FF222222"/>
      <name val="Courier New"/>
      <family val="3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i/>
      <sz val="11"/>
      <color rgb="FFFF0000"/>
      <name val="Tahoma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18" fillId="0" borderId="0" xfId="0" applyFont="1"/>
    <xf numFmtId="1" fontId="18" fillId="0" borderId="0" xfId="0" applyNumberFormat="1" applyFont="1"/>
    <xf numFmtId="2" fontId="18" fillId="0" borderId="0" xfId="0" applyNumberFormat="1" applyFont="1"/>
    <xf numFmtId="0" fontId="18" fillId="0" borderId="0" xfId="0" applyFont="1" applyAlignment="1">
      <alignment horizontal="center"/>
    </xf>
    <xf numFmtId="2" fontId="19" fillId="0" borderId="0" xfId="0" applyNumberFormat="1" applyFont="1"/>
    <xf numFmtId="2" fontId="20" fillId="0" borderId="0" xfId="0" applyNumberFormat="1" applyFont="1"/>
    <xf numFmtId="2" fontId="18" fillId="0" borderId="10" xfId="0" applyNumberFormat="1" applyFont="1" applyBorder="1"/>
    <xf numFmtId="0" fontId="19" fillId="33" borderId="0" xfId="0" applyFont="1" applyFill="1" applyAlignment="1">
      <alignment horizontal="center" wrapText="1"/>
    </xf>
    <xf numFmtId="0" fontId="18" fillId="0" borderId="0" xfId="0" applyFont="1" applyFill="1"/>
    <xf numFmtId="0" fontId="19" fillId="0" borderId="0" xfId="0" applyFont="1" applyFill="1"/>
    <xf numFmtId="2" fontId="19" fillId="0" borderId="0" xfId="0" applyNumberFormat="1" applyFont="1" applyFill="1"/>
    <xf numFmtId="0" fontId="19" fillId="0" borderId="0" xfId="0" applyFont="1"/>
    <xf numFmtId="0" fontId="20" fillId="0" borderId="0" xfId="0" applyFont="1"/>
    <xf numFmtId="0" fontId="21" fillId="0" borderId="11" xfId="0" applyFont="1" applyBorder="1" applyAlignment="1">
      <alignment vertical="center"/>
    </xf>
    <xf numFmtId="0" fontId="22" fillId="0" borderId="11" xfId="0" applyFont="1" applyBorder="1" applyAlignment="1">
      <alignment wrapText="1"/>
    </xf>
    <xf numFmtId="0" fontId="22" fillId="0" borderId="11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8" fillId="0" borderId="0" xfId="0" applyFont="1" applyAlignment="1">
      <alignment horizontal="left" vertical="center" indent="10"/>
    </xf>
    <xf numFmtId="0" fontId="16" fillId="0" borderId="0" xfId="0" applyFont="1"/>
    <xf numFmtId="0" fontId="16" fillId="0" borderId="0" xfId="0" applyFont="1" applyAlignment="1">
      <alignment horizontal="center"/>
    </xf>
    <xf numFmtId="1" fontId="0" fillId="0" borderId="0" xfId="0" applyNumberFormat="1"/>
    <xf numFmtId="0" fontId="31" fillId="0" borderId="0" xfId="0" applyFont="1" applyAlignment="1"/>
    <xf numFmtId="0" fontId="31" fillId="0" borderId="0" xfId="0" applyFont="1" applyAlignment="1">
      <alignment horizontal="center"/>
    </xf>
    <xf numFmtId="0" fontId="32" fillId="0" borderId="0" xfId="42"/>
    <xf numFmtId="0" fontId="30" fillId="0" borderId="0" xfId="0" applyFont="1" applyAlignment="1">
      <alignment horizontal="center"/>
    </xf>
    <xf numFmtId="0" fontId="16" fillId="0" borderId="0" xfId="0" applyFont="1" applyAlignment="1"/>
    <xf numFmtId="164" fontId="0" fillId="0" borderId="0" xfId="43" applyNumberFormat="1" applyFont="1"/>
    <xf numFmtId="44" fontId="0" fillId="0" borderId="0" xfId="43" applyNumberFormat="1" applyFont="1"/>
    <xf numFmtId="164" fontId="16" fillId="0" borderId="0" xfId="43" applyNumberFormat="1" applyFont="1"/>
    <xf numFmtId="2" fontId="18" fillId="0" borderId="0" xfId="0" applyNumberFormat="1" applyFont="1" applyBorder="1"/>
    <xf numFmtId="164" fontId="18" fillId="0" borderId="0" xfId="43" applyNumberFormat="1" applyFont="1"/>
    <xf numFmtId="164" fontId="19" fillId="0" borderId="0" xfId="43" applyNumberFormat="1" applyFont="1"/>
    <xf numFmtId="164" fontId="19" fillId="0" borderId="0" xfId="43" applyNumberFormat="1" applyFont="1" applyFill="1"/>
    <xf numFmtId="164" fontId="19" fillId="0" borderId="0" xfId="0" applyNumberFormat="1" applyFont="1"/>
    <xf numFmtId="0" fontId="18" fillId="34" borderId="0" xfId="0" applyFont="1" applyFill="1"/>
    <xf numFmtId="2" fontId="18" fillId="34" borderId="0" xfId="0" applyNumberFormat="1" applyFont="1" applyFill="1"/>
    <xf numFmtId="0" fontId="33" fillId="34" borderId="12" xfId="0" applyFont="1" applyFill="1" applyBorder="1"/>
    <xf numFmtId="2" fontId="33" fillId="34" borderId="12" xfId="0" applyNumberFormat="1" applyFont="1" applyFill="1" applyBorder="1"/>
    <xf numFmtId="2" fontId="34" fillId="34" borderId="12" xfId="0" applyNumberFormat="1" applyFont="1" applyFill="1" applyBorder="1"/>
    <xf numFmtId="0" fontId="18" fillId="0" borderId="0" xfId="0" applyFont="1" applyAlignment="1">
      <alignment horizontal="right"/>
    </xf>
    <xf numFmtId="0" fontId="18" fillId="34" borderId="12" xfId="0" applyFont="1" applyFill="1" applyBorder="1"/>
    <xf numFmtId="1" fontId="18" fillId="34" borderId="0" xfId="0" applyNumberFormat="1" applyFont="1" applyFill="1"/>
    <xf numFmtId="0" fontId="34" fillId="34" borderId="12" xfId="0" applyFont="1" applyFill="1" applyBorder="1" applyAlignment="1">
      <alignment horizontal="center"/>
    </xf>
    <xf numFmtId="165" fontId="0" fillId="0" borderId="0" xfId="0" applyNumberFormat="1"/>
    <xf numFmtId="164" fontId="19" fillId="0" borderId="0" xfId="0" applyNumberFormat="1" applyFont="1" applyFill="1"/>
    <xf numFmtId="44" fontId="0" fillId="0" borderId="0" xfId="0" applyNumberFormat="1"/>
    <xf numFmtId="44" fontId="0" fillId="34" borderId="0" xfId="0" applyNumberFormat="1" applyFill="1"/>
    <xf numFmtId="1" fontId="18" fillId="35" borderId="0" xfId="0" applyNumberFormat="1" applyFont="1" applyFill="1"/>
    <xf numFmtId="2" fontId="18" fillId="35" borderId="0" xfId="0" applyNumberFormat="1" applyFont="1" applyFill="1"/>
    <xf numFmtId="2" fontId="35" fillId="35" borderId="12" xfId="0" applyNumberFormat="1" applyFont="1" applyFill="1" applyBorder="1"/>
    <xf numFmtId="0" fontId="0" fillId="0" borderId="0" xfId="0"/>
    <xf numFmtId="0" fontId="36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38" fillId="0" borderId="0" xfId="0" applyFont="1"/>
    <xf numFmtId="0" fontId="0" fillId="0" borderId="12" xfId="0" applyBorder="1"/>
    <xf numFmtId="0" fontId="16" fillId="0" borderId="12" xfId="0" applyFont="1" applyBorder="1"/>
    <xf numFmtId="0" fontId="0" fillId="0" borderId="12" xfId="0" applyBorder="1" applyAlignment="1">
      <alignment horizontal="left" vertical="top"/>
    </xf>
    <xf numFmtId="44" fontId="0" fillId="0" borderId="12" xfId="0" applyNumberFormat="1" applyBorder="1" applyAlignment="1">
      <alignment horizontal="left" vertical="top"/>
    </xf>
    <xf numFmtId="44" fontId="0" fillId="0" borderId="12" xfId="43" applyFont="1" applyBorder="1" applyAlignment="1">
      <alignment horizontal="left" vertical="top"/>
    </xf>
    <xf numFmtId="0" fontId="36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164" fontId="1" fillId="0" borderId="12" xfId="43" applyNumberFormat="1" applyFont="1" applyBorder="1"/>
    <xf numFmtId="0" fontId="16" fillId="0" borderId="12" xfId="0" applyFont="1" applyBorder="1"/>
    <xf numFmtId="164" fontId="16" fillId="0" borderId="12" xfId="43" applyNumberFormat="1" applyFont="1" applyBorder="1"/>
    <xf numFmtId="0" fontId="0" fillId="0" borderId="12" xfId="0" applyFont="1" applyBorder="1"/>
    <xf numFmtId="0" fontId="16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wrapText="1"/>
    </xf>
    <xf numFmtId="166" fontId="0" fillId="0" borderId="12" xfId="43" applyNumberFormat="1" applyFont="1" applyBorder="1" applyAlignment="1">
      <alignment horizontal="center"/>
    </xf>
    <xf numFmtId="166" fontId="0" fillId="0" borderId="12" xfId="0" applyNumberFormat="1" applyFont="1" applyFill="1" applyBorder="1" applyAlignment="1">
      <alignment horizontal="center"/>
    </xf>
    <xf numFmtId="166" fontId="16" fillId="0" borderId="12" xfId="0" applyNumberFormat="1" applyFont="1" applyBorder="1" applyAlignment="1">
      <alignment horizontal="center"/>
    </xf>
    <xf numFmtId="2" fontId="0" fillId="0" borderId="0" xfId="0" applyNumberFormat="1"/>
    <xf numFmtId="3" fontId="0" fillId="0" borderId="0" xfId="0" applyNumberFormat="1"/>
    <xf numFmtId="0" fontId="37" fillId="0" borderId="0" xfId="0" applyFont="1" applyAlignment="1">
      <alignment vertical="center"/>
    </xf>
    <xf numFmtId="0" fontId="37" fillId="0" borderId="13" xfId="0" applyFont="1" applyBorder="1" applyAlignment="1">
      <alignment horizontal="left" vertical="top" wrapText="1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ravelproductsinc.com/SandnGrave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0"/>
  <sheetViews>
    <sheetView topLeftCell="A11" zoomScale="85" zoomScaleNormal="85" workbookViewId="0">
      <selection activeCell="N46" sqref="N46"/>
    </sheetView>
  </sheetViews>
  <sheetFormatPr defaultRowHeight="15" x14ac:dyDescent="0.25"/>
  <cols>
    <col min="1" max="1" width="36.140625" customWidth="1"/>
    <col min="2" max="2" width="17.42578125" customWidth="1"/>
    <col min="3" max="3" width="15.28515625" customWidth="1"/>
    <col min="4" max="5" width="13.85546875" customWidth="1"/>
    <col min="10" max="10" width="23.7109375" customWidth="1"/>
    <col min="12" max="12" width="14.140625" customWidth="1"/>
    <col min="13" max="13" width="13.85546875" customWidth="1"/>
  </cols>
  <sheetData>
    <row r="3" spans="1:13" ht="31.5" x14ac:dyDescent="0.25">
      <c r="A3" s="54" t="s">
        <v>208</v>
      </c>
      <c r="B3" s="54" t="s">
        <v>33</v>
      </c>
      <c r="C3" s="55" t="s">
        <v>183</v>
      </c>
      <c r="D3" s="55" t="s">
        <v>185</v>
      </c>
      <c r="E3" s="55" t="s">
        <v>149</v>
      </c>
    </row>
    <row r="4" spans="1:13" x14ac:dyDescent="0.25">
      <c r="A4" s="67" t="s">
        <v>223</v>
      </c>
      <c r="B4" s="64">
        <v>1599274.3761183906</v>
      </c>
      <c r="C4" s="64">
        <v>639709.75044735626</v>
      </c>
      <c r="D4" s="64">
        <v>319854.87522367813</v>
      </c>
      <c r="E4" s="64">
        <v>2558839.001789425</v>
      </c>
    </row>
    <row r="5" spans="1:13" x14ac:dyDescent="0.25">
      <c r="A5" s="67" t="s">
        <v>224</v>
      </c>
      <c r="B5" s="64">
        <v>3168593.4099740824</v>
      </c>
      <c r="C5" s="64">
        <v>1267437.363989633</v>
      </c>
      <c r="D5" s="64">
        <v>633718.68199481652</v>
      </c>
      <c r="E5" s="64">
        <v>5069749.4559585322</v>
      </c>
    </row>
    <row r="6" spans="1:13" x14ac:dyDescent="0.25">
      <c r="A6" s="67" t="s">
        <v>225</v>
      </c>
      <c r="B6" s="64">
        <v>2486254.9961397285</v>
      </c>
      <c r="C6" s="64">
        <v>994501.99845589139</v>
      </c>
      <c r="D6" s="64">
        <v>497250.99922794569</v>
      </c>
      <c r="E6" s="64">
        <v>3978007.9938235655</v>
      </c>
    </row>
    <row r="7" spans="1:13" x14ac:dyDescent="0.25">
      <c r="A7" s="67" t="s">
        <v>226</v>
      </c>
      <c r="B7" s="64">
        <v>2112981.6605163976</v>
      </c>
      <c r="C7" s="64">
        <v>845192.66420655907</v>
      </c>
      <c r="D7" s="64">
        <v>422596.33210327954</v>
      </c>
      <c r="E7" s="64">
        <v>3380770.6568262363</v>
      </c>
    </row>
    <row r="8" spans="1:13" x14ac:dyDescent="0.25">
      <c r="A8" s="67" t="s">
        <v>227</v>
      </c>
      <c r="B8" s="64">
        <v>840526.48115978623</v>
      </c>
      <c r="C8" s="64">
        <v>336210.59246391454</v>
      </c>
      <c r="D8" s="64">
        <v>168105.29623195727</v>
      </c>
      <c r="E8" s="64">
        <v>1344842.3698556582</v>
      </c>
    </row>
    <row r="9" spans="1:13" x14ac:dyDescent="0.25">
      <c r="A9" s="67" t="s">
        <v>228</v>
      </c>
      <c r="B9" s="64">
        <v>98840.276853479605</v>
      </c>
      <c r="C9" s="64">
        <v>39536.110741391843</v>
      </c>
      <c r="D9" s="64">
        <v>19768.055370695922</v>
      </c>
      <c r="E9" s="64">
        <v>158144.44296556737</v>
      </c>
    </row>
    <row r="10" spans="1:13" x14ac:dyDescent="0.25">
      <c r="A10" s="67" t="s">
        <v>229</v>
      </c>
      <c r="B10" s="64">
        <v>3088505.3925485928</v>
      </c>
      <c r="C10" s="64">
        <v>1235402.1570194371</v>
      </c>
      <c r="D10" s="64">
        <v>617701.07850971853</v>
      </c>
      <c r="E10" s="64">
        <v>4941608.6280777482</v>
      </c>
    </row>
    <row r="11" spans="1:13" x14ac:dyDescent="0.25">
      <c r="A11" s="67" t="s">
        <v>230</v>
      </c>
      <c r="B11" s="64">
        <v>121270.84645841039</v>
      </c>
      <c r="C11" s="64">
        <v>48508.338583364159</v>
      </c>
      <c r="D11" s="64">
        <v>24254.169291682079</v>
      </c>
      <c r="E11" s="64">
        <v>194033.35433345663</v>
      </c>
    </row>
    <row r="12" spans="1:13" x14ac:dyDescent="0.25">
      <c r="A12" s="67" t="s">
        <v>231</v>
      </c>
      <c r="B12" s="64">
        <v>1147202.4427610473</v>
      </c>
      <c r="C12" s="64">
        <v>458880.97710441891</v>
      </c>
      <c r="D12" s="64">
        <v>229440.48855220946</v>
      </c>
      <c r="E12" s="64">
        <v>1835523.9084176756</v>
      </c>
    </row>
    <row r="13" spans="1:13" x14ac:dyDescent="0.25">
      <c r="A13" s="65" t="s">
        <v>232</v>
      </c>
      <c r="B13" s="66">
        <v>12330357.098701626</v>
      </c>
      <c r="C13" s="66">
        <v>4932142.8394806506</v>
      </c>
      <c r="D13" s="66">
        <v>2466071.4197403253</v>
      </c>
      <c r="E13" s="66">
        <v>19728571.357922602</v>
      </c>
    </row>
    <row r="14" spans="1:13" x14ac:dyDescent="0.25">
      <c r="A14" s="65" t="s">
        <v>233</v>
      </c>
      <c r="B14" s="66">
        <v>8248163.0126818083</v>
      </c>
      <c r="C14" s="66">
        <v>3299265.2050727233</v>
      </c>
      <c r="D14" s="66">
        <v>1649632.6025363617</v>
      </c>
      <c r="E14" s="66">
        <v>13197060.820290893</v>
      </c>
      <c r="J14" s="58" t="s">
        <v>32</v>
      </c>
      <c r="K14" s="58" t="s">
        <v>74</v>
      </c>
      <c r="L14" s="58" t="s">
        <v>33</v>
      </c>
      <c r="M14" s="58" t="s">
        <v>27</v>
      </c>
    </row>
    <row r="15" spans="1:13" x14ac:dyDescent="0.25">
      <c r="A15" s="56"/>
      <c r="B15" s="53"/>
      <c r="C15" s="53"/>
      <c r="D15" s="53"/>
      <c r="E15" s="53"/>
      <c r="J15" s="57" t="s">
        <v>209</v>
      </c>
      <c r="K15" s="57" t="s">
        <v>75</v>
      </c>
      <c r="L15" s="59" t="s">
        <v>210</v>
      </c>
      <c r="M15" s="57" t="s">
        <v>211</v>
      </c>
    </row>
    <row r="16" spans="1:13" x14ac:dyDescent="0.25">
      <c r="J16" s="57" t="s">
        <v>212</v>
      </c>
      <c r="K16" s="57" t="s">
        <v>75</v>
      </c>
      <c r="L16" s="59" t="s">
        <v>213</v>
      </c>
      <c r="M16" s="57" t="s">
        <v>214</v>
      </c>
    </row>
    <row r="17" spans="1:13" x14ac:dyDescent="0.25">
      <c r="J17" s="57" t="s">
        <v>215</v>
      </c>
      <c r="K17" s="57" t="s">
        <v>75</v>
      </c>
      <c r="L17" s="60">
        <v>2</v>
      </c>
      <c r="M17" s="57" t="s">
        <v>14</v>
      </c>
    </row>
    <row r="18" spans="1:13" x14ac:dyDescent="0.25">
      <c r="J18" s="57" t="s">
        <v>216</v>
      </c>
      <c r="K18" s="57" t="s">
        <v>75</v>
      </c>
      <c r="L18" s="60">
        <v>56.38138659320478</v>
      </c>
      <c r="M18" s="57" t="s">
        <v>15</v>
      </c>
    </row>
    <row r="19" spans="1:13" x14ac:dyDescent="0.25">
      <c r="J19" s="57" t="s">
        <v>217</v>
      </c>
      <c r="K19" s="57" t="s">
        <v>75</v>
      </c>
      <c r="L19" s="60">
        <v>175.71999999999997</v>
      </c>
      <c r="M19" s="57" t="s">
        <v>218</v>
      </c>
    </row>
    <row r="20" spans="1:13" ht="31.5" x14ac:dyDescent="0.25">
      <c r="A20" s="62" t="s">
        <v>208</v>
      </c>
      <c r="B20" s="62" t="s">
        <v>33</v>
      </c>
      <c r="C20" s="63" t="s">
        <v>183</v>
      </c>
      <c r="D20" s="63" t="s">
        <v>185</v>
      </c>
      <c r="E20" s="63" t="s">
        <v>149</v>
      </c>
      <c r="J20" s="57" t="s">
        <v>177</v>
      </c>
      <c r="K20" s="57" t="s">
        <v>157</v>
      </c>
      <c r="L20" s="61">
        <v>1220</v>
      </c>
      <c r="M20" s="57"/>
    </row>
    <row r="21" spans="1:13" x14ac:dyDescent="0.25">
      <c r="A21" s="67" t="s">
        <v>223</v>
      </c>
      <c r="B21" s="64">
        <f t="shared" ref="B21:E22" si="0">ROUND(B4,-2)</f>
        <v>1599300</v>
      </c>
      <c r="C21" s="64">
        <f t="shared" si="0"/>
        <v>639700</v>
      </c>
      <c r="D21" s="64">
        <f t="shared" si="0"/>
        <v>319900</v>
      </c>
      <c r="E21" s="64">
        <f t="shared" si="0"/>
        <v>2558800</v>
      </c>
      <c r="J21" s="57" t="s">
        <v>219</v>
      </c>
      <c r="K21" s="57" t="s">
        <v>157</v>
      </c>
      <c r="L21" s="61">
        <v>880</v>
      </c>
      <c r="M21" s="57"/>
    </row>
    <row r="22" spans="1:13" x14ac:dyDescent="0.25">
      <c r="A22" s="67" t="s">
        <v>224</v>
      </c>
      <c r="B22" s="64">
        <f t="shared" si="0"/>
        <v>3168600</v>
      </c>
      <c r="C22" s="64">
        <f t="shared" si="0"/>
        <v>1267400</v>
      </c>
      <c r="D22" s="64">
        <f t="shared" si="0"/>
        <v>633700</v>
      </c>
      <c r="E22" s="64">
        <f t="shared" si="0"/>
        <v>5069700</v>
      </c>
      <c r="J22" s="57" t="s">
        <v>172</v>
      </c>
      <c r="K22" s="57" t="s">
        <v>157</v>
      </c>
      <c r="L22" s="61">
        <v>200</v>
      </c>
      <c r="M22" s="57"/>
    </row>
    <row r="23" spans="1:13" x14ac:dyDescent="0.25">
      <c r="A23" s="67" t="s">
        <v>225</v>
      </c>
      <c r="B23" s="64">
        <f t="shared" ref="B23:E23" si="1">ROUND(B6,-2)</f>
        <v>2486300</v>
      </c>
      <c r="C23" s="64">
        <f t="shared" si="1"/>
        <v>994500</v>
      </c>
      <c r="D23" s="64">
        <f t="shared" si="1"/>
        <v>497300</v>
      </c>
      <c r="E23" s="64">
        <f t="shared" si="1"/>
        <v>3978000</v>
      </c>
      <c r="J23" s="57" t="s">
        <v>220</v>
      </c>
      <c r="K23" s="57" t="s">
        <v>157</v>
      </c>
      <c r="L23" s="61">
        <v>75000</v>
      </c>
      <c r="M23" s="57"/>
    </row>
    <row r="24" spans="1:13" x14ac:dyDescent="0.25">
      <c r="A24" s="67" t="s">
        <v>226</v>
      </c>
      <c r="B24" s="64">
        <f t="shared" ref="B24:E24" si="2">ROUND(B7,-2)</f>
        <v>2113000</v>
      </c>
      <c r="C24" s="64">
        <f t="shared" si="2"/>
        <v>845200</v>
      </c>
      <c r="D24" s="64">
        <f t="shared" si="2"/>
        <v>422600</v>
      </c>
      <c r="E24" s="64">
        <f t="shared" si="2"/>
        <v>3380800</v>
      </c>
      <c r="J24" s="57" t="s">
        <v>221</v>
      </c>
      <c r="K24" s="57" t="s">
        <v>148</v>
      </c>
      <c r="L24" s="61">
        <v>40</v>
      </c>
      <c r="M24" s="57"/>
    </row>
    <row r="25" spans="1:13" x14ac:dyDescent="0.25">
      <c r="A25" s="67" t="s">
        <v>227</v>
      </c>
      <c r="B25" s="64">
        <f t="shared" ref="B25:E25" si="3">ROUND(B8,-2)</f>
        <v>840500</v>
      </c>
      <c r="C25" s="64">
        <f t="shared" si="3"/>
        <v>336200</v>
      </c>
      <c r="D25" s="64">
        <f t="shared" si="3"/>
        <v>168100</v>
      </c>
      <c r="E25" s="64">
        <f t="shared" si="3"/>
        <v>1344800</v>
      </c>
      <c r="J25" s="57" t="s">
        <v>222</v>
      </c>
      <c r="K25" s="57" t="s">
        <v>148</v>
      </c>
      <c r="L25" s="61">
        <v>30</v>
      </c>
      <c r="M25" s="57"/>
    </row>
    <row r="26" spans="1:13" x14ac:dyDescent="0.25">
      <c r="A26" s="67" t="s">
        <v>228</v>
      </c>
      <c r="B26" s="64">
        <f t="shared" ref="B26:E26" si="4">ROUND(B9,-2)</f>
        <v>98800</v>
      </c>
      <c r="C26" s="64">
        <f t="shared" si="4"/>
        <v>39500</v>
      </c>
      <c r="D26" s="64">
        <f t="shared" si="4"/>
        <v>19800</v>
      </c>
      <c r="E26" s="64">
        <f t="shared" si="4"/>
        <v>158100</v>
      </c>
      <c r="J26" s="57" t="s">
        <v>170</v>
      </c>
      <c r="K26" s="57" t="s">
        <v>75</v>
      </c>
      <c r="L26" s="61">
        <v>15</v>
      </c>
      <c r="M26" s="57"/>
    </row>
    <row r="27" spans="1:13" ht="14.25" customHeight="1" x14ac:dyDescent="0.25">
      <c r="A27" s="67" t="s">
        <v>229</v>
      </c>
      <c r="B27" s="64">
        <f t="shared" ref="B27:E27" si="5">ROUND(B10,-2)</f>
        <v>3088500</v>
      </c>
      <c r="C27" s="64">
        <f t="shared" si="5"/>
        <v>1235400</v>
      </c>
      <c r="D27" s="64">
        <f t="shared" si="5"/>
        <v>617700</v>
      </c>
      <c r="E27" s="64">
        <f t="shared" si="5"/>
        <v>4941600</v>
      </c>
      <c r="J27" s="76" t="s">
        <v>237</v>
      </c>
      <c r="K27" s="76"/>
      <c r="L27" s="76"/>
      <c r="M27" s="76"/>
    </row>
    <row r="28" spans="1:13" x14ac:dyDescent="0.25">
      <c r="A28" s="67" t="s">
        <v>230</v>
      </c>
      <c r="B28" s="64">
        <f t="shared" ref="B28:E28" si="6">ROUND(B11,-2)</f>
        <v>121300</v>
      </c>
      <c r="C28" s="64">
        <f t="shared" si="6"/>
        <v>48500</v>
      </c>
      <c r="D28" s="64">
        <f t="shared" si="6"/>
        <v>24300</v>
      </c>
      <c r="E28" s="64">
        <f t="shared" si="6"/>
        <v>194000</v>
      </c>
    </row>
    <row r="29" spans="1:13" x14ac:dyDescent="0.25">
      <c r="A29" s="67" t="s">
        <v>231</v>
      </c>
      <c r="B29" s="64">
        <f t="shared" ref="B29:E29" si="7">ROUND(B12,-2)</f>
        <v>1147200</v>
      </c>
      <c r="C29" s="64">
        <f t="shared" si="7"/>
        <v>458900</v>
      </c>
      <c r="D29" s="64">
        <f t="shared" si="7"/>
        <v>229400</v>
      </c>
      <c r="E29" s="64">
        <f t="shared" si="7"/>
        <v>1835500</v>
      </c>
    </row>
    <row r="30" spans="1:13" x14ac:dyDescent="0.25">
      <c r="A30" s="65" t="s">
        <v>232</v>
      </c>
      <c r="B30" s="66">
        <f t="shared" ref="B30:E30" si="8">ROUND(B13,-2)</f>
        <v>12330400</v>
      </c>
      <c r="C30" s="66">
        <f t="shared" si="8"/>
        <v>4932100</v>
      </c>
      <c r="D30" s="66">
        <f t="shared" si="8"/>
        <v>2466100</v>
      </c>
      <c r="E30" s="66">
        <f t="shared" si="8"/>
        <v>19728600</v>
      </c>
    </row>
    <row r="31" spans="1:13" x14ac:dyDescent="0.25">
      <c r="A31" s="65" t="s">
        <v>233</v>
      </c>
      <c r="B31" s="66">
        <f t="shared" ref="B31:D31" si="9">ROUND(B14,-2)</f>
        <v>8248200</v>
      </c>
      <c r="C31" s="66">
        <f t="shared" si="9"/>
        <v>3299300</v>
      </c>
      <c r="D31" s="66">
        <f t="shared" si="9"/>
        <v>1649600</v>
      </c>
      <c r="E31" s="66">
        <f>ROUND(E14,-2)</f>
        <v>13197100</v>
      </c>
    </row>
    <row r="32" spans="1:13" x14ac:dyDescent="0.25">
      <c r="A32" s="75" t="s">
        <v>236</v>
      </c>
    </row>
    <row r="33" spans="1:11" x14ac:dyDescent="0.25">
      <c r="J33" s="48">
        <f>E30/59000</f>
        <v>334.38305084745764</v>
      </c>
    </row>
    <row r="34" spans="1:11" x14ac:dyDescent="0.25">
      <c r="J34" s="48">
        <f>E31/59000</f>
        <v>223.67966101694915</v>
      </c>
    </row>
    <row r="35" spans="1:11" x14ac:dyDescent="0.25">
      <c r="J35" s="74">
        <v>427611</v>
      </c>
      <c r="K35">
        <f>J35/85000</f>
        <v>5.0307176470588235</v>
      </c>
    </row>
    <row r="39" spans="1:11" x14ac:dyDescent="0.25">
      <c r="A39" s="68" t="s">
        <v>208</v>
      </c>
      <c r="B39" s="68" t="s">
        <v>234</v>
      </c>
      <c r="C39" s="69"/>
      <c r="D39" s="69"/>
      <c r="E39" s="69"/>
    </row>
    <row r="40" spans="1:11" x14ac:dyDescent="0.25">
      <c r="A40" s="67" t="s">
        <v>223</v>
      </c>
      <c r="B40" s="70">
        <v>6778.2947962781755</v>
      </c>
      <c r="C40" s="57"/>
      <c r="D40" s="57"/>
      <c r="E40" s="57"/>
    </row>
    <row r="41" spans="1:11" x14ac:dyDescent="0.25">
      <c r="A41" s="67" t="s">
        <v>224</v>
      </c>
      <c r="B41" s="70">
        <v>9987.293329230637</v>
      </c>
      <c r="C41" s="57"/>
      <c r="D41" s="57"/>
      <c r="E41" s="57"/>
    </row>
    <row r="42" spans="1:11" x14ac:dyDescent="0.25">
      <c r="A42" s="67" t="s">
        <v>225</v>
      </c>
      <c r="B42" s="70">
        <v>13976.219970791459</v>
      </c>
      <c r="C42" s="57"/>
      <c r="D42" s="57"/>
      <c r="E42" s="57"/>
    </row>
    <row r="43" spans="1:11" x14ac:dyDescent="0.25">
      <c r="A43" s="67" t="s">
        <v>226</v>
      </c>
      <c r="B43" s="70">
        <v>6784.3260089553532</v>
      </c>
      <c r="C43" s="57"/>
      <c r="D43" s="57"/>
      <c r="E43" s="57"/>
    </row>
    <row r="44" spans="1:11" x14ac:dyDescent="0.25">
      <c r="A44" s="67" t="s">
        <v>227</v>
      </c>
      <c r="B44" s="70">
        <v>9721.7597663139659</v>
      </c>
      <c r="C44" s="57"/>
      <c r="D44" s="57"/>
      <c r="E44" s="57"/>
    </row>
    <row r="45" spans="1:11" x14ac:dyDescent="0.25">
      <c r="A45" s="67" t="s">
        <v>228</v>
      </c>
      <c r="B45" s="70">
        <v>935.98747020340534</v>
      </c>
      <c r="C45" s="57"/>
      <c r="D45" s="57"/>
      <c r="E45" s="57"/>
    </row>
    <row r="46" spans="1:11" x14ac:dyDescent="0.25">
      <c r="A46" s="67" t="s">
        <v>229</v>
      </c>
      <c r="B46" s="70">
        <v>16366.273053249473</v>
      </c>
      <c r="C46" s="57"/>
      <c r="D46" s="57"/>
      <c r="E46" s="57"/>
    </row>
    <row r="47" spans="1:11" x14ac:dyDescent="0.25">
      <c r="A47" s="67" t="s">
        <v>230</v>
      </c>
      <c r="B47" s="70">
        <v>1148.3981672197954</v>
      </c>
      <c r="C47" s="57"/>
      <c r="D47" s="57"/>
      <c r="E47" s="57"/>
    </row>
    <row r="48" spans="1:11" x14ac:dyDescent="0.25">
      <c r="A48" s="67" t="s">
        <v>231</v>
      </c>
      <c r="B48" s="71">
        <v>14534.880632013346</v>
      </c>
      <c r="C48" s="57"/>
      <c r="D48" s="57"/>
      <c r="E48" s="57"/>
    </row>
    <row r="49" spans="1:5" x14ac:dyDescent="0.25">
      <c r="A49" s="65" t="s">
        <v>232</v>
      </c>
      <c r="B49" s="72">
        <v>71364.721547877067</v>
      </c>
      <c r="C49" s="57"/>
      <c r="D49" s="57"/>
      <c r="E49" s="57"/>
    </row>
    <row r="50" spans="1:5" x14ac:dyDescent="0.25">
      <c r="A50" s="65" t="s">
        <v>233</v>
      </c>
      <c r="B50" s="72">
        <v>40169.180403900711</v>
      </c>
      <c r="C50" s="57"/>
      <c r="D50" s="57"/>
      <c r="E50" s="57"/>
    </row>
  </sheetData>
  <mergeCells count="1">
    <mergeCell ref="J27:M27"/>
  </mergeCells>
  <pageMargins left="0.7" right="0.7" top="0.75" bottom="0.75" header="0.3" footer="0.3"/>
  <pageSetup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3" sqref="H13"/>
    </sheetView>
  </sheetViews>
  <sheetFormatPr defaultRowHeight="15" x14ac:dyDescent="0.25"/>
  <cols>
    <col min="1" max="1" width="27.85546875" customWidth="1"/>
    <col min="3" max="3" width="16.5703125" customWidth="1"/>
    <col min="4" max="4" width="12.5703125" bestFit="1" customWidth="1"/>
    <col min="5" max="5" width="12.28515625" customWidth="1"/>
    <col min="6" max="6" width="11.140625" customWidth="1"/>
    <col min="7" max="7" width="14.28515625" bestFit="1" customWidth="1"/>
    <col min="11" max="11" width="10.7109375" customWidth="1"/>
    <col min="13" max="13" width="12" customWidth="1"/>
    <col min="14" max="14" width="10.5703125" bestFit="1" customWidth="1"/>
    <col min="15" max="15" width="12.5703125" bestFit="1" customWidth="1"/>
  </cols>
  <sheetData>
    <row r="1" spans="1:15" x14ac:dyDescent="0.25">
      <c r="A1" s="77" t="s">
        <v>109</v>
      </c>
      <c r="B1" s="77"/>
      <c r="C1" s="77"/>
      <c r="D1" s="77"/>
      <c r="E1" s="77"/>
    </row>
    <row r="2" spans="1:15" x14ac:dyDescent="0.25">
      <c r="A2" s="77"/>
      <c r="B2" s="77"/>
      <c r="C2" s="77"/>
      <c r="D2" s="77"/>
      <c r="E2" s="77"/>
    </row>
    <row r="3" spans="1:15" ht="15" customHeight="1" x14ac:dyDescent="0.5">
      <c r="A3" s="25"/>
      <c r="B3" s="25"/>
      <c r="C3" s="25"/>
      <c r="D3" s="25"/>
      <c r="E3" s="22"/>
    </row>
    <row r="4" spans="1:15" x14ac:dyDescent="0.25">
      <c r="E4" s="78" t="s">
        <v>108</v>
      </c>
      <c r="F4" s="78"/>
    </row>
    <row r="5" spans="1:15" x14ac:dyDescent="0.25">
      <c r="A5" s="21" t="s">
        <v>64</v>
      </c>
      <c r="B5" s="21" t="s">
        <v>71</v>
      </c>
      <c r="C5" s="21" t="s">
        <v>141</v>
      </c>
      <c r="D5" s="21" t="s">
        <v>155</v>
      </c>
      <c r="E5" s="21" t="s">
        <v>98</v>
      </c>
      <c r="F5" s="21" t="s">
        <v>96</v>
      </c>
      <c r="G5" s="21" t="s">
        <v>149</v>
      </c>
      <c r="H5" s="21" t="s">
        <v>206</v>
      </c>
      <c r="I5" s="21"/>
      <c r="K5" s="21" t="s">
        <v>83</v>
      </c>
      <c r="L5" s="21" t="s">
        <v>85</v>
      </c>
      <c r="M5" s="21" t="s">
        <v>117</v>
      </c>
      <c r="N5" s="21" t="s">
        <v>123</v>
      </c>
      <c r="O5" s="21" t="s">
        <v>33</v>
      </c>
    </row>
    <row r="6" spans="1:15" x14ac:dyDescent="0.25">
      <c r="A6" t="s">
        <v>65</v>
      </c>
      <c r="B6" s="23">
        <f>ALL_SEGMENTS!D10</f>
        <v>3242.06474448053</v>
      </c>
      <c r="C6" s="29">
        <f>(5*B6*$C$24)/43560</f>
        <v>1024.2485849335469</v>
      </c>
      <c r="D6" s="29">
        <f>B6*$C$25</f>
        <v>22694.453211363711</v>
      </c>
      <c r="E6" s="29">
        <f>B6*5*(4/12)*Materials!$F$6/27*1.4</f>
        <v>6945.6233964161274</v>
      </c>
      <c r="F6" s="29">
        <f>B6*5*(2/12)*Materials!$F$7/27*1.4</f>
        <v>3472.8116982080637</v>
      </c>
      <c r="G6" s="29">
        <f>SUM(C6:F6)</f>
        <v>34137.136890921443</v>
      </c>
      <c r="K6" t="s">
        <v>98</v>
      </c>
      <c r="L6">
        <v>4</v>
      </c>
      <c r="M6" s="23">
        <f>$B$12*5*(L6/12)/27</f>
        <v>6848.844655171999</v>
      </c>
      <c r="N6" s="23">
        <f>1.4*M6</f>
        <v>9588.3825172407978</v>
      </c>
      <c r="O6" s="29">
        <f>N6*Materials!F6</f>
        <v>237696.00260239936</v>
      </c>
    </row>
    <row r="7" spans="1:15" x14ac:dyDescent="0.25">
      <c r="A7" t="s">
        <v>66</v>
      </c>
      <c r="B7" s="23">
        <v>0</v>
      </c>
      <c r="C7" s="29">
        <f t="shared" ref="C7:C12" si="0">(5*B7*$C$24)/43560</f>
        <v>0</v>
      </c>
      <c r="D7" s="29">
        <f t="shared" ref="D7:D12" si="1">B7*$C$25</f>
        <v>0</v>
      </c>
      <c r="E7" s="29">
        <f>B7*5*(4/12)*Materials!$F$6/27*1.4</f>
        <v>0</v>
      </c>
      <c r="F7" s="29">
        <f>B7*5*(2/12)*Materials!$F$7/27*1.4</f>
        <v>0</v>
      </c>
      <c r="G7" s="29">
        <f t="shared" ref="G7:G12" si="2">SUM(C7:F7)</f>
        <v>0</v>
      </c>
      <c r="K7" t="s">
        <v>96</v>
      </c>
      <c r="L7">
        <v>2</v>
      </c>
      <c r="M7" s="23">
        <f t="shared" ref="M7:M8" si="3">$B$12*5*(L7/12)/27</f>
        <v>3424.4223275859995</v>
      </c>
      <c r="N7" s="23">
        <f>1.4*M7</f>
        <v>4794.1912586203989</v>
      </c>
      <c r="O7" s="29">
        <f>N7*Materials!F7</f>
        <v>118848.00130119968</v>
      </c>
    </row>
    <row r="8" spans="1:15" x14ac:dyDescent="0.25">
      <c r="A8" t="s">
        <v>67</v>
      </c>
      <c r="B8" s="23">
        <f>ALL_SEGMENTS!D28</f>
        <v>19956.594928433198</v>
      </c>
      <c r="C8" s="29">
        <f t="shared" si="0"/>
        <v>6304.7828240749241</v>
      </c>
      <c r="D8" s="29">
        <f t="shared" si="1"/>
        <v>139696.1644990324</v>
      </c>
      <c r="E8" s="29">
        <f>B8*5*(4/12)*Materials!$F$6/27*1.4</f>
        <v>42753.924912728551</v>
      </c>
      <c r="F8" s="29">
        <f>B8*5*(2/12)*Materials!$F$7/27*1.4</f>
        <v>21376.962456364276</v>
      </c>
      <c r="G8" s="29">
        <f t="shared" si="2"/>
        <v>210131.83469220015</v>
      </c>
      <c r="K8" t="s">
        <v>114</v>
      </c>
      <c r="L8">
        <v>2</v>
      </c>
      <c r="M8" s="23">
        <f t="shared" si="3"/>
        <v>3424.4223275859995</v>
      </c>
      <c r="N8" s="23"/>
      <c r="O8" s="29">
        <f>M8*Materials!F8</f>
        <v>136976.89310343997</v>
      </c>
    </row>
    <row r="9" spans="1:15" x14ac:dyDescent="0.25">
      <c r="A9" t="s">
        <v>68</v>
      </c>
      <c r="B9" s="23">
        <f>ALL_SEGMENTS!D36</f>
        <v>38252.109523581297</v>
      </c>
      <c r="C9" s="29">
        <f t="shared" si="0"/>
        <v>12084.789212477272</v>
      </c>
      <c r="D9" s="29">
        <f t="shared" si="1"/>
        <v>267764.7666650691</v>
      </c>
      <c r="E9" s="29">
        <f>B9*5*(4/12)*Materials!$F$6/27*1.4</f>
        <v>81949.241550951352</v>
      </c>
      <c r="F9" s="29">
        <f>B9*5*(2/12)*Materials!$F$7/27*1.4</f>
        <v>40974.620775475676</v>
      </c>
      <c r="G9" s="29">
        <f t="shared" si="2"/>
        <v>402773.41820397339</v>
      </c>
    </row>
    <row r="10" spans="1:15" x14ac:dyDescent="0.25">
      <c r="A10" t="s">
        <v>69</v>
      </c>
      <c r="B10" s="23">
        <f>ALL_SEGMENTS!D43</f>
        <v>44502.625257057502</v>
      </c>
      <c r="C10" s="29">
        <f t="shared" si="0"/>
        <v>14059.482008485473</v>
      </c>
      <c r="D10" s="29">
        <f t="shared" si="1"/>
        <v>311518.37679940253</v>
      </c>
      <c r="E10" s="29">
        <f>B10*5*(4/12)*Materials!$F$6/27*1.4</f>
        <v>95340.006924162793</v>
      </c>
      <c r="F10" s="29">
        <f>B10*5*(2/12)*Materials!$F$7/27*1.4</f>
        <v>47670.003462081397</v>
      </c>
      <c r="G10" s="29">
        <f t="shared" si="2"/>
        <v>468587.86919413216</v>
      </c>
    </row>
    <row r="11" spans="1:15" x14ac:dyDescent="0.25">
      <c r="A11" t="s">
        <v>70</v>
      </c>
      <c r="B11" s="23">
        <f>ALL_SEGMENTS!D54</f>
        <v>4997.8889602338604</v>
      </c>
      <c r="C11" s="29">
        <f t="shared" si="0"/>
        <v>1578.9569606497012</v>
      </c>
      <c r="D11" s="29">
        <f t="shared" si="1"/>
        <v>34985.222721637023</v>
      </c>
      <c r="E11" s="29">
        <f>B11*5*(4/12)*Materials!$F$6/27*1.4</f>
        <v>10707.205818140515</v>
      </c>
      <c r="F11" s="29">
        <f>B11*5*(2/12)*Materials!$F$7/27*1.4</f>
        <v>5353.6029090702577</v>
      </c>
      <c r="G11" s="29">
        <f t="shared" si="2"/>
        <v>52624.988409497499</v>
      </c>
    </row>
    <row r="12" spans="1:15" x14ac:dyDescent="0.25">
      <c r="A12" s="21" t="s">
        <v>19</v>
      </c>
      <c r="B12" s="23">
        <f>SUM(B6:B11)</f>
        <v>110951.28341378638</v>
      </c>
      <c r="C12" s="29">
        <f t="shared" si="0"/>
        <v>35052.259590620917</v>
      </c>
      <c r="D12" s="29">
        <f t="shared" si="1"/>
        <v>776658.98389650462</v>
      </c>
      <c r="E12" s="29">
        <f>B12*5*(4/12)*Materials!$F$6/27*1.4</f>
        <v>237696.00260239939</v>
      </c>
      <c r="F12" s="29">
        <f>B12*5*(2/12)*Materials!$F$7/27*1.4</f>
        <v>118848.00130119969</v>
      </c>
      <c r="G12" s="29">
        <f t="shared" si="2"/>
        <v>1168255.2473907245</v>
      </c>
      <c r="H12" s="49">
        <f>SUM(C12:F12)/B12</f>
        <v>10.529443296602386</v>
      </c>
    </row>
    <row r="15" spans="1:15" x14ac:dyDescent="0.25">
      <c r="A15" t="s">
        <v>76</v>
      </c>
    </row>
    <row r="16" spans="1:15" x14ac:dyDescent="0.25">
      <c r="A16" t="s">
        <v>127</v>
      </c>
    </row>
    <row r="17" spans="1:5" x14ac:dyDescent="0.25">
      <c r="A17" t="s">
        <v>128</v>
      </c>
    </row>
    <row r="19" spans="1:5" x14ac:dyDescent="0.25">
      <c r="A19" t="s">
        <v>129</v>
      </c>
    </row>
    <row r="20" spans="1:5" x14ac:dyDescent="0.25">
      <c r="A20" t="s">
        <v>130</v>
      </c>
    </row>
    <row r="22" spans="1:5" x14ac:dyDescent="0.25">
      <c r="A22" t="s">
        <v>73</v>
      </c>
    </row>
    <row r="23" spans="1:5" x14ac:dyDescent="0.25">
      <c r="A23" t="s">
        <v>32</v>
      </c>
      <c r="B23" t="s">
        <v>74</v>
      </c>
      <c r="C23" t="s">
        <v>140</v>
      </c>
      <c r="D23" t="s">
        <v>27</v>
      </c>
    </row>
    <row r="24" spans="1:5" x14ac:dyDescent="0.25">
      <c r="A24" t="s">
        <v>141</v>
      </c>
      <c r="B24" t="s">
        <v>142</v>
      </c>
      <c r="C24" s="29">
        <f>(4789.27+2967.74+500)/3</f>
        <v>2752.3366666666666</v>
      </c>
      <c r="D24" t="s">
        <v>143</v>
      </c>
    </row>
    <row r="25" spans="1:5" x14ac:dyDescent="0.25">
      <c r="A25" t="s">
        <v>154</v>
      </c>
      <c r="B25" t="s">
        <v>75</v>
      </c>
      <c r="C25" s="29">
        <v>7</v>
      </c>
    </row>
    <row r="26" spans="1:5" x14ac:dyDescent="0.25">
      <c r="A26" t="s">
        <v>162</v>
      </c>
      <c r="B26" t="s">
        <v>123</v>
      </c>
      <c r="C26" s="29">
        <f>Materials!F6</f>
        <v>24.79</v>
      </c>
      <c r="D26" t="s">
        <v>184</v>
      </c>
    </row>
    <row r="27" spans="1:5" x14ac:dyDescent="0.25">
      <c r="A27" t="s">
        <v>163</v>
      </c>
      <c r="B27" t="s">
        <v>123</v>
      </c>
      <c r="C27" s="29">
        <f>Materials!F7</f>
        <v>24.79</v>
      </c>
      <c r="D27" t="s">
        <v>184</v>
      </c>
    </row>
    <row r="28" spans="1:5" x14ac:dyDescent="0.25">
      <c r="A28" t="s">
        <v>114</v>
      </c>
    </row>
    <row r="29" spans="1:5" x14ac:dyDescent="0.25">
      <c r="A29" t="s">
        <v>201</v>
      </c>
      <c r="B29" t="s">
        <v>75</v>
      </c>
      <c r="C29" s="46">
        <f>1000/5280</f>
        <v>0.18939393939393939</v>
      </c>
      <c r="D29" t="s">
        <v>203</v>
      </c>
      <c r="E29">
        <f>1000/5280</f>
        <v>0.18939393939393939</v>
      </c>
    </row>
  </sheetData>
  <mergeCells count="2">
    <mergeCell ref="A1:E2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K13" sqref="K13"/>
    </sheetView>
  </sheetViews>
  <sheetFormatPr defaultRowHeight="15" x14ac:dyDescent="0.25"/>
  <cols>
    <col min="1" max="1" width="22" customWidth="1"/>
    <col min="2" max="7" width="11.5703125" customWidth="1"/>
    <col min="8" max="8" width="11.7109375" customWidth="1"/>
    <col min="9" max="9" width="10.42578125" customWidth="1"/>
    <col min="10" max="10" width="12.5703125" bestFit="1" customWidth="1"/>
    <col min="16" max="16" width="12.140625" customWidth="1"/>
    <col min="18" max="18" width="10.5703125" bestFit="1" customWidth="1"/>
  </cols>
  <sheetData>
    <row r="1" spans="1:18" x14ac:dyDescent="0.25">
      <c r="A1" s="77" t="s">
        <v>110</v>
      </c>
      <c r="B1" s="77"/>
      <c r="C1" s="77"/>
      <c r="D1" s="77"/>
      <c r="E1" s="77"/>
      <c r="F1" s="77"/>
      <c r="G1" s="77"/>
      <c r="H1" s="77"/>
    </row>
    <row r="2" spans="1:18" x14ac:dyDescent="0.25">
      <c r="A2" s="77"/>
      <c r="B2" s="77"/>
      <c r="C2" s="77"/>
      <c r="D2" s="77"/>
      <c r="E2" s="77"/>
      <c r="F2" s="77"/>
      <c r="G2" s="77"/>
      <c r="H2" s="77"/>
    </row>
    <row r="3" spans="1:18" ht="15" customHeight="1" x14ac:dyDescent="0.5">
      <c r="A3" s="25"/>
      <c r="B3" s="25"/>
      <c r="C3" s="25"/>
      <c r="D3" s="25"/>
      <c r="E3" s="25"/>
      <c r="F3" s="25"/>
      <c r="G3" s="25"/>
      <c r="H3" s="22"/>
    </row>
    <row r="4" spans="1:18" x14ac:dyDescent="0.25">
      <c r="H4" s="78" t="s">
        <v>108</v>
      </c>
      <c r="I4" s="78"/>
    </row>
    <row r="5" spans="1:18" x14ac:dyDescent="0.25">
      <c r="A5" s="21" t="s">
        <v>64</v>
      </c>
      <c r="B5" s="21" t="s">
        <v>71</v>
      </c>
      <c r="C5" s="21" t="s">
        <v>141</v>
      </c>
      <c r="D5" s="21" t="s">
        <v>155</v>
      </c>
      <c r="E5" s="21" t="s">
        <v>80</v>
      </c>
      <c r="F5" s="21" t="s">
        <v>170</v>
      </c>
      <c r="G5" s="21" t="s">
        <v>159</v>
      </c>
      <c r="H5" s="21" t="s">
        <v>98</v>
      </c>
      <c r="I5" s="21" t="s">
        <v>96</v>
      </c>
      <c r="J5" s="21" t="s">
        <v>149</v>
      </c>
      <c r="K5" s="21" t="s">
        <v>206</v>
      </c>
      <c r="L5" s="21"/>
      <c r="N5" s="21" t="s">
        <v>83</v>
      </c>
      <c r="O5" s="21" t="s">
        <v>175</v>
      </c>
      <c r="P5" s="21" t="s">
        <v>117</v>
      </c>
      <c r="Q5" s="21" t="s">
        <v>123</v>
      </c>
      <c r="R5" s="21" t="s">
        <v>33</v>
      </c>
    </row>
    <row r="6" spans="1:18" x14ac:dyDescent="0.25">
      <c r="A6" t="s">
        <v>65</v>
      </c>
      <c r="B6" s="23">
        <v>0</v>
      </c>
      <c r="C6" s="29">
        <f>(5*B6*$C$26)/43560</f>
        <v>0</v>
      </c>
      <c r="D6" s="29">
        <f>B6*$C$27</f>
        <v>0</v>
      </c>
      <c r="E6" s="29">
        <f>B6*$C$32</f>
        <v>0</v>
      </c>
      <c r="F6" s="29">
        <f>$C$33*B6</f>
        <v>0</v>
      </c>
      <c r="G6" s="29">
        <f>B6*5*$C$31</f>
        <v>0</v>
      </c>
      <c r="H6" s="29">
        <f>B6*5*(4/12)*Materials!$F$6/27*1.4</f>
        <v>0</v>
      </c>
      <c r="I6" s="29">
        <f>B6*5*(2/12)*Materials!$F$7/27*1.4</f>
        <v>0</v>
      </c>
      <c r="J6" s="29">
        <f>SUM(C6:I6)</f>
        <v>0</v>
      </c>
      <c r="N6" t="s">
        <v>98</v>
      </c>
      <c r="O6">
        <v>4</v>
      </c>
      <c r="P6" s="23">
        <f>$B$12*5*(O6/12)/27</f>
        <v>471.63911665224708</v>
      </c>
      <c r="Q6" s="23">
        <f>1.4*P6</f>
        <v>660.29476331314584</v>
      </c>
      <c r="R6" s="29">
        <f>Q6*Materials!F6</f>
        <v>16368.707182532884</v>
      </c>
    </row>
    <row r="7" spans="1:18" x14ac:dyDescent="0.25">
      <c r="A7" t="s">
        <v>66</v>
      </c>
      <c r="B7" s="23">
        <v>0</v>
      </c>
      <c r="C7" s="29">
        <f t="shared" ref="C7:C12" si="0">(5*B7*$C$26)/43560</f>
        <v>0</v>
      </c>
      <c r="D7" s="29">
        <f t="shared" ref="D7:D12" si="1">B7*$C$27</f>
        <v>0</v>
      </c>
      <c r="E7" s="29">
        <f t="shared" ref="E7:E12" si="2">B7*$C$32</f>
        <v>0</v>
      </c>
      <c r="F7" s="29">
        <f t="shared" ref="F7:F12" si="3">$C$33*B7</f>
        <v>0</v>
      </c>
      <c r="G7" s="29">
        <f t="shared" ref="G7:G12" si="4">B7*5*$C$31</f>
        <v>0</v>
      </c>
      <c r="H7" s="29">
        <f>B7*5*(4/12)*Materials!$F$6/27*1.4</f>
        <v>0</v>
      </c>
      <c r="I7" s="29">
        <f>B7*5*(2/12)*Materials!$F$7/27*1.4</f>
        <v>0</v>
      </c>
      <c r="J7" s="29">
        <f t="shared" ref="J7:J12" si="5">SUM(C7:I7)</f>
        <v>0</v>
      </c>
      <c r="N7" t="s">
        <v>96</v>
      </c>
      <c r="O7">
        <v>2</v>
      </c>
      <c r="P7" s="23">
        <f t="shared" ref="P7:P8" si="6">$B$12*5*(O7/12)/27</f>
        <v>235.81955832612354</v>
      </c>
      <c r="Q7" s="23">
        <f>1.4*P7</f>
        <v>330.14738165657292</v>
      </c>
      <c r="R7" s="29">
        <f>Q7*Materials!F7</f>
        <v>8184.353591266442</v>
      </c>
    </row>
    <row r="8" spans="1:18" x14ac:dyDescent="0.25">
      <c r="A8" t="s">
        <v>67</v>
      </c>
      <c r="B8" s="23">
        <v>0</v>
      </c>
      <c r="C8" s="29">
        <f t="shared" si="0"/>
        <v>0</v>
      </c>
      <c r="D8" s="29">
        <f t="shared" si="1"/>
        <v>0</v>
      </c>
      <c r="E8" s="29">
        <f t="shared" si="2"/>
        <v>0</v>
      </c>
      <c r="F8" s="29">
        <f t="shared" si="3"/>
        <v>0</v>
      </c>
      <c r="G8" s="29">
        <f t="shared" si="4"/>
        <v>0</v>
      </c>
      <c r="H8" s="29">
        <f>B8*5*(4/12)*Materials!$F$6/27*1.4</f>
        <v>0</v>
      </c>
      <c r="I8" s="29">
        <f>B8*5*(2/12)*Materials!$F$7/27*1.4</f>
        <v>0</v>
      </c>
      <c r="J8" s="29">
        <f t="shared" si="5"/>
        <v>0</v>
      </c>
      <c r="N8" t="s">
        <v>114</v>
      </c>
      <c r="O8">
        <v>2</v>
      </c>
      <c r="P8" s="23">
        <f t="shared" si="6"/>
        <v>235.81955832612354</v>
      </c>
      <c r="Q8" s="23"/>
      <c r="R8" s="29">
        <f>P8*Materials!F8</f>
        <v>9432.782333044941</v>
      </c>
    </row>
    <row r="9" spans="1:18" x14ac:dyDescent="0.25">
      <c r="A9" t="s">
        <v>68</v>
      </c>
      <c r="B9" s="23">
        <v>0</v>
      </c>
      <c r="C9" s="29">
        <f t="shared" si="0"/>
        <v>0</v>
      </c>
      <c r="D9" s="29">
        <f t="shared" si="1"/>
        <v>0</v>
      </c>
      <c r="E9" s="29">
        <f t="shared" si="2"/>
        <v>0</v>
      </c>
      <c r="F9" s="29">
        <f t="shared" si="3"/>
        <v>0</v>
      </c>
      <c r="G9" s="29">
        <f t="shared" si="4"/>
        <v>0</v>
      </c>
      <c r="H9" s="29">
        <f>B9*5*(4/12)*Materials!$F$6/27*1.4</f>
        <v>0</v>
      </c>
      <c r="I9" s="29">
        <f>B9*5*(2/12)*Materials!$F$7/27*1.4</f>
        <v>0</v>
      </c>
      <c r="J9" s="29">
        <f t="shared" si="5"/>
        <v>0</v>
      </c>
    </row>
    <row r="10" spans="1:18" x14ac:dyDescent="0.25">
      <c r="A10" t="s">
        <v>69</v>
      </c>
      <c r="B10" s="23">
        <f>ALL_SEGMENTS!D44</f>
        <v>7640.5536897664033</v>
      </c>
      <c r="C10" s="29">
        <f t="shared" si="0"/>
        <v>2413.8402288773373</v>
      </c>
      <c r="D10" s="29">
        <f t="shared" si="1"/>
        <v>53483.87582836482</v>
      </c>
      <c r="E10" s="29">
        <f t="shared" si="2"/>
        <v>229216.61069299211</v>
      </c>
      <c r="F10" s="29">
        <f t="shared" si="3"/>
        <v>114608.30534649605</v>
      </c>
      <c r="G10" s="29">
        <f t="shared" si="4"/>
        <v>1528110.7379532806</v>
      </c>
      <c r="H10" s="29">
        <f>B10*5*(4/12)*Materials!$F$6/27*1.4</f>
        <v>16368.707182532886</v>
      </c>
      <c r="I10" s="29">
        <f>B10*5*(2/12)*Materials!$F$7/27*1.4</f>
        <v>8184.3535912664429</v>
      </c>
      <c r="J10" s="29">
        <f t="shared" si="5"/>
        <v>1952386.4308238102</v>
      </c>
    </row>
    <row r="11" spans="1:18" x14ac:dyDescent="0.25">
      <c r="A11" t="s">
        <v>70</v>
      </c>
      <c r="B11" s="23">
        <v>0</v>
      </c>
      <c r="C11" s="29">
        <f t="shared" si="0"/>
        <v>0</v>
      </c>
      <c r="D11" s="29">
        <f t="shared" si="1"/>
        <v>0</v>
      </c>
      <c r="E11" s="29">
        <f t="shared" si="2"/>
        <v>0</v>
      </c>
      <c r="F11" s="29">
        <f t="shared" si="3"/>
        <v>0</v>
      </c>
      <c r="G11" s="29">
        <f t="shared" si="4"/>
        <v>0</v>
      </c>
      <c r="H11" s="29">
        <f>B11*5*(4/12)*Materials!$F$6/27*1.4</f>
        <v>0</v>
      </c>
      <c r="I11" s="29">
        <f>B11*5*(2/12)*Materials!$F$7/27*1.4</f>
        <v>0</v>
      </c>
      <c r="J11" s="29">
        <f t="shared" si="5"/>
        <v>0</v>
      </c>
    </row>
    <row r="12" spans="1:18" x14ac:dyDescent="0.25">
      <c r="A12" s="21" t="s">
        <v>19</v>
      </c>
      <c r="B12" s="23">
        <f>SUM(B6:B11)</f>
        <v>7640.5536897664033</v>
      </c>
      <c r="C12" s="29">
        <f t="shared" si="0"/>
        <v>2413.8402288773373</v>
      </c>
      <c r="D12" s="29">
        <f t="shared" si="1"/>
        <v>53483.87582836482</v>
      </c>
      <c r="E12" s="29">
        <f t="shared" si="2"/>
        <v>229216.61069299211</v>
      </c>
      <c r="F12" s="29">
        <f t="shared" si="3"/>
        <v>114608.30534649605</v>
      </c>
      <c r="G12" s="29">
        <f t="shared" si="4"/>
        <v>1528110.7379532806</v>
      </c>
      <c r="H12" s="29">
        <f>B12*5*(4/12)*Materials!$F$6/27*1.4</f>
        <v>16368.707182532886</v>
      </c>
      <c r="I12" s="29">
        <f>B12*5*(2/12)*Materials!$F$7/27*1.4</f>
        <v>8184.3535912664429</v>
      </c>
      <c r="J12" s="29">
        <f t="shared" si="5"/>
        <v>1952386.4308238102</v>
      </c>
      <c r="K12" s="49">
        <f>SUM(C12:E12,H12:I12)/B12</f>
        <v>40.529443296602381</v>
      </c>
    </row>
    <row r="15" spans="1:18" x14ac:dyDescent="0.25">
      <c r="A15" t="s">
        <v>76</v>
      </c>
    </row>
    <row r="16" spans="1:18" x14ac:dyDescent="0.25">
      <c r="A16" t="s">
        <v>127</v>
      </c>
    </row>
    <row r="17" spans="1:4" x14ac:dyDescent="0.25">
      <c r="A17" t="s">
        <v>128</v>
      </c>
    </row>
    <row r="19" spans="1:4" x14ac:dyDescent="0.25">
      <c r="A19" t="s">
        <v>129</v>
      </c>
    </row>
    <row r="20" spans="1:4" x14ac:dyDescent="0.25">
      <c r="A20" t="s">
        <v>130</v>
      </c>
    </row>
    <row r="21" spans="1:4" x14ac:dyDescent="0.25">
      <c r="A21" t="s">
        <v>176</v>
      </c>
    </row>
    <row r="24" spans="1:4" x14ac:dyDescent="0.25">
      <c r="A24" t="s">
        <v>73</v>
      </c>
    </row>
    <row r="25" spans="1:4" x14ac:dyDescent="0.25">
      <c r="A25" t="s">
        <v>32</v>
      </c>
      <c r="B25" t="s">
        <v>74</v>
      </c>
      <c r="C25" t="s">
        <v>140</v>
      </c>
      <c r="D25" t="s">
        <v>27</v>
      </c>
    </row>
    <row r="26" spans="1:4" x14ac:dyDescent="0.25">
      <c r="A26" t="s">
        <v>141</v>
      </c>
      <c r="B26" t="s">
        <v>142</v>
      </c>
      <c r="C26" s="29">
        <f>(4789.27+2967.74+500)/3</f>
        <v>2752.3366666666666</v>
      </c>
      <c r="D26" t="s">
        <v>143</v>
      </c>
    </row>
    <row r="27" spans="1:4" x14ac:dyDescent="0.25">
      <c r="A27" t="s">
        <v>154</v>
      </c>
      <c r="B27" t="s">
        <v>75</v>
      </c>
      <c r="C27" s="29">
        <v>7</v>
      </c>
    </row>
    <row r="28" spans="1:4" x14ac:dyDescent="0.25">
      <c r="A28" t="s">
        <v>162</v>
      </c>
      <c r="B28" t="s">
        <v>123</v>
      </c>
      <c r="C28" s="29">
        <f>Materials!F6</f>
        <v>24.79</v>
      </c>
      <c r="D28" t="s">
        <v>184</v>
      </c>
    </row>
    <row r="29" spans="1:4" x14ac:dyDescent="0.25">
      <c r="A29" t="s">
        <v>163</v>
      </c>
      <c r="B29" t="s">
        <v>123</v>
      </c>
      <c r="C29" s="29">
        <f>Materials!F7</f>
        <v>24.79</v>
      </c>
      <c r="D29" t="s">
        <v>184</v>
      </c>
    </row>
    <row r="30" spans="1:4" x14ac:dyDescent="0.25">
      <c r="A30" t="s">
        <v>114</v>
      </c>
      <c r="C30" s="29"/>
    </row>
    <row r="31" spans="1:4" x14ac:dyDescent="0.25">
      <c r="A31" t="s">
        <v>159</v>
      </c>
      <c r="B31" t="s">
        <v>148</v>
      </c>
      <c r="C31" s="29">
        <v>40</v>
      </c>
      <c r="D31" t="s">
        <v>164</v>
      </c>
    </row>
    <row r="32" spans="1:4" x14ac:dyDescent="0.25">
      <c r="A32" t="s">
        <v>80</v>
      </c>
      <c r="B32" t="s">
        <v>75</v>
      </c>
      <c r="C32" s="29">
        <v>30</v>
      </c>
      <c r="D32" t="s">
        <v>165</v>
      </c>
    </row>
    <row r="33" spans="1:5" x14ac:dyDescent="0.25">
      <c r="A33" t="s">
        <v>170</v>
      </c>
      <c r="B33" t="s">
        <v>75</v>
      </c>
      <c r="C33" s="29">
        <v>15</v>
      </c>
      <c r="D33" t="s">
        <v>171</v>
      </c>
    </row>
    <row r="34" spans="1:5" x14ac:dyDescent="0.25">
      <c r="A34" t="s">
        <v>201</v>
      </c>
      <c r="B34" t="s">
        <v>75</v>
      </c>
      <c r="C34" s="46">
        <f>1000/5280</f>
        <v>0.18939393939393939</v>
      </c>
      <c r="D34" t="s">
        <v>203</v>
      </c>
      <c r="E34">
        <f>1000/5280</f>
        <v>0.18939393939393939</v>
      </c>
    </row>
  </sheetData>
  <mergeCells count="2">
    <mergeCell ref="A1:H2"/>
    <mergeCell ref="H4: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B7" sqref="B7"/>
    </sheetView>
  </sheetViews>
  <sheetFormatPr defaultRowHeight="15" x14ac:dyDescent="0.25"/>
  <cols>
    <col min="1" max="1" width="23.140625" customWidth="1"/>
    <col min="2" max="2" width="11" customWidth="1"/>
    <col min="3" max="3" width="11.5703125" customWidth="1"/>
    <col min="4" max="4" width="10.5703125" customWidth="1"/>
    <col min="5" max="5" width="9.85546875" customWidth="1"/>
    <col min="11" max="11" width="12.28515625" customWidth="1"/>
    <col min="12" max="12" width="13.28515625" customWidth="1"/>
    <col min="13" max="13" width="11.5703125" bestFit="1" customWidth="1"/>
  </cols>
  <sheetData>
    <row r="1" spans="1:13" x14ac:dyDescent="0.25">
      <c r="A1" s="77" t="s">
        <v>111</v>
      </c>
      <c r="B1" s="77"/>
      <c r="C1" s="77"/>
    </row>
    <row r="2" spans="1:13" x14ac:dyDescent="0.25">
      <c r="A2" s="77"/>
      <c r="B2" s="77"/>
      <c r="C2" s="77"/>
    </row>
    <row r="3" spans="1:13" ht="15" customHeight="1" x14ac:dyDescent="0.5">
      <c r="A3" s="25"/>
      <c r="B3" s="25"/>
      <c r="C3" s="22"/>
    </row>
    <row r="4" spans="1:13" x14ac:dyDescent="0.25">
      <c r="C4" s="78" t="s">
        <v>108</v>
      </c>
      <c r="D4" s="78"/>
    </row>
    <row r="5" spans="1:13" x14ac:dyDescent="0.25">
      <c r="A5" s="21" t="s">
        <v>64</v>
      </c>
      <c r="B5" s="21" t="s">
        <v>71</v>
      </c>
      <c r="C5" s="21" t="s">
        <v>98</v>
      </c>
      <c r="D5" s="21" t="s">
        <v>96</v>
      </c>
      <c r="E5" s="21" t="s">
        <v>149</v>
      </c>
      <c r="F5" s="21" t="s">
        <v>206</v>
      </c>
      <c r="G5" s="21"/>
      <c r="I5" s="21" t="s">
        <v>83</v>
      </c>
      <c r="J5" s="21" t="s">
        <v>85</v>
      </c>
      <c r="K5" s="21" t="s">
        <v>117</v>
      </c>
      <c r="L5" s="21" t="s">
        <v>124</v>
      </c>
      <c r="M5" s="21" t="s">
        <v>33</v>
      </c>
    </row>
    <row r="6" spans="1:13" x14ac:dyDescent="0.25">
      <c r="A6" t="s">
        <v>65</v>
      </c>
      <c r="B6" s="23">
        <v>0</v>
      </c>
      <c r="C6" s="29">
        <f>B6*5*(4/12)*Materials!$F$6/27*1.4</f>
        <v>0</v>
      </c>
      <c r="D6" s="29">
        <f>B6*5*(2/12)*Materials!$F$7/27*1.4</f>
        <v>0</v>
      </c>
      <c r="E6" s="29">
        <f>SUM(C6:D6)</f>
        <v>0</v>
      </c>
      <c r="I6" t="s">
        <v>98</v>
      </c>
      <c r="J6">
        <v>4</v>
      </c>
      <c r="K6" s="23">
        <f>$B$12*5*(J6/12)/27</f>
        <v>1241.3458859651209</v>
      </c>
      <c r="L6" s="23">
        <f>K6*1.4</f>
        <v>1737.8842403511692</v>
      </c>
      <c r="M6" s="29">
        <f>L6*Materials!F6</f>
        <v>43082.150318305481</v>
      </c>
    </row>
    <row r="7" spans="1:13" x14ac:dyDescent="0.25">
      <c r="A7" t="s">
        <v>66</v>
      </c>
      <c r="B7" s="23">
        <f>ALL_SEGMENTS!D19</f>
        <v>2404.6140610869102</v>
      </c>
      <c r="C7" s="29">
        <f>B7*5*(4/12)*Materials!$F$6/27*1.4</f>
        <v>5151.5145434618698</v>
      </c>
      <c r="D7" s="29">
        <f>B7*5*(2/12)*Materials!$F$7/27*1.4</f>
        <v>2575.7572717309349</v>
      </c>
      <c r="E7" s="29">
        <f t="shared" ref="E7:E12" si="0">SUM(C7:D7)</f>
        <v>7727.2718151928048</v>
      </c>
      <c r="I7" t="s">
        <v>96</v>
      </c>
      <c r="J7">
        <v>2</v>
      </c>
      <c r="K7" s="23">
        <f t="shared" ref="K7:K8" si="1">$B$12*5*(J7/12)/27</f>
        <v>620.67294298256047</v>
      </c>
      <c r="L7" s="23">
        <f>K7*1.4</f>
        <v>868.94212017558459</v>
      </c>
      <c r="M7" s="29">
        <f>L7*Materials!F7</f>
        <v>21541.075159152741</v>
      </c>
    </row>
    <row r="8" spans="1:13" x14ac:dyDescent="0.25">
      <c r="A8" t="s">
        <v>67</v>
      </c>
      <c r="B8" s="23">
        <f>ALL_SEGMENTS!D29</f>
        <v>10531.982430178499</v>
      </c>
      <c r="C8" s="29">
        <f>B8*5*(4/12)*Materials!$F$6/27*1.4</f>
        <v>22563.14705072685</v>
      </c>
      <c r="D8" s="29">
        <f>B8*5*(2/12)*Materials!$F$7/27*1.4</f>
        <v>11281.573525363425</v>
      </c>
      <c r="E8" s="29">
        <f t="shared" si="0"/>
        <v>33844.720576090273</v>
      </c>
      <c r="I8" t="s">
        <v>114</v>
      </c>
      <c r="J8">
        <v>2</v>
      </c>
      <c r="K8" s="23">
        <f t="shared" si="1"/>
        <v>620.67294298256047</v>
      </c>
      <c r="L8" s="23"/>
      <c r="M8" s="29">
        <f>K8*Materials!F8</f>
        <v>24826.917719302419</v>
      </c>
    </row>
    <row r="9" spans="1:13" x14ac:dyDescent="0.25">
      <c r="A9" t="s">
        <v>68</v>
      </c>
      <c r="B9" s="23">
        <v>0</v>
      </c>
      <c r="C9" s="29">
        <f>B9*5*(4/12)*Materials!$F$6/27*1.4</f>
        <v>0</v>
      </c>
      <c r="D9" s="29">
        <f>B9*5*(2/12)*Materials!$F$7/27*1.4</f>
        <v>0</v>
      </c>
      <c r="E9" s="29">
        <f t="shared" si="0"/>
        <v>0</v>
      </c>
    </row>
    <row r="10" spans="1:13" x14ac:dyDescent="0.25">
      <c r="A10" t="s">
        <v>69</v>
      </c>
      <c r="B10" s="23">
        <f>ALL_SEGMENTS!D45</f>
        <v>7173.2068613695501</v>
      </c>
      <c r="C10" s="29">
        <f>B10*5*(4/12)*Materials!$F$6/27*1.4</f>
        <v>15367.488724116762</v>
      </c>
      <c r="D10" s="29">
        <f>B10*5*(2/12)*Materials!$F$7/27*1.4</f>
        <v>7683.7443620583808</v>
      </c>
      <c r="E10" s="29">
        <f t="shared" si="0"/>
        <v>23051.233086175143</v>
      </c>
    </row>
    <row r="11" spans="1:13" x14ac:dyDescent="0.25">
      <c r="A11" t="s">
        <v>70</v>
      </c>
      <c r="B11" s="23">
        <v>0</v>
      </c>
      <c r="C11" s="29">
        <f>B11*5*(4/12)*Materials!$F$6/27*1.4</f>
        <v>0</v>
      </c>
      <c r="D11" s="29">
        <f>B11*5*(2/12)*Materials!$F$7/27*1.4</f>
        <v>0</v>
      </c>
      <c r="E11" s="29">
        <f t="shared" si="0"/>
        <v>0</v>
      </c>
    </row>
    <row r="12" spans="1:13" x14ac:dyDescent="0.25">
      <c r="A12" s="21" t="s">
        <v>19</v>
      </c>
      <c r="B12" s="23">
        <f>SUM(B6:B11)</f>
        <v>20109.803352634961</v>
      </c>
      <c r="C12" s="29">
        <f>B12*5*(4/12)*Materials!$F$6/27*1.4</f>
        <v>43082.150318305488</v>
      </c>
      <c r="D12" s="29">
        <f>B12*5*(2/12)*Materials!$F$7/27*1.4</f>
        <v>21541.075159152744</v>
      </c>
      <c r="E12" s="29">
        <f t="shared" si="0"/>
        <v>64623.225477458232</v>
      </c>
      <c r="F12" s="49">
        <f>E12/B12</f>
        <v>3.2135185185185184</v>
      </c>
    </row>
    <row r="15" spans="1:13" x14ac:dyDescent="0.25">
      <c r="A15" t="s">
        <v>76</v>
      </c>
    </row>
    <row r="16" spans="1:13" x14ac:dyDescent="0.25">
      <c r="A16" t="s">
        <v>127</v>
      </c>
    </row>
    <row r="17" spans="1:5" x14ac:dyDescent="0.25">
      <c r="A17" t="s">
        <v>128</v>
      </c>
    </row>
    <row r="19" spans="1:5" x14ac:dyDescent="0.25">
      <c r="A19" t="s">
        <v>129</v>
      </c>
    </row>
    <row r="20" spans="1:5" x14ac:dyDescent="0.25">
      <c r="A20" t="s">
        <v>130</v>
      </c>
    </row>
    <row r="22" spans="1:5" x14ac:dyDescent="0.25">
      <c r="A22" t="s">
        <v>73</v>
      </c>
    </row>
    <row r="23" spans="1:5" x14ac:dyDescent="0.25">
      <c r="A23" t="s">
        <v>32</v>
      </c>
      <c r="B23" t="s">
        <v>74</v>
      </c>
      <c r="C23" t="s">
        <v>140</v>
      </c>
      <c r="D23" t="s">
        <v>27</v>
      </c>
    </row>
    <row r="24" spans="1:5" x14ac:dyDescent="0.25">
      <c r="A24" t="s">
        <v>162</v>
      </c>
      <c r="B24" t="s">
        <v>123</v>
      </c>
      <c r="C24" s="29">
        <f>Materials!F6</f>
        <v>24.79</v>
      </c>
      <c r="D24" t="s">
        <v>184</v>
      </c>
    </row>
    <row r="25" spans="1:5" x14ac:dyDescent="0.25">
      <c r="A25" t="s">
        <v>163</v>
      </c>
      <c r="B25" t="s">
        <v>123</v>
      </c>
      <c r="C25" s="29">
        <f>Materials!F7</f>
        <v>24.79</v>
      </c>
      <c r="D25" t="s">
        <v>184</v>
      </c>
    </row>
    <row r="26" spans="1:5" x14ac:dyDescent="0.25">
      <c r="A26" t="s">
        <v>114</v>
      </c>
    </row>
    <row r="27" spans="1:5" x14ac:dyDescent="0.25">
      <c r="A27" t="s">
        <v>201</v>
      </c>
      <c r="B27" t="s">
        <v>75</v>
      </c>
      <c r="C27" s="46">
        <f>1000/5280</f>
        <v>0.18939393939393939</v>
      </c>
      <c r="D27" t="s">
        <v>203</v>
      </c>
      <c r="E27">
        <f>1000/5280</f>
        <v>0.18939393939393939</v>
      </c>
    </row>
  </sheetData>
  <mergeCells count="2">
    <mergeCell ref="A1:C2"/>
    <mergeCell ref="C4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J14" sqref="J14"/>
    </sheetView>
  </sheetViews>
  <sheetFormatPr defaultRowHeight="15" x14ac:dyDescent="0.25"/>
  <cols>
    <col min="1" max="1" width="24.28515625" customWidth="1"/>
    <col min="2" max="2" width="10.140625" customWidth="1"/>
    <col min="3" max="3" width="10.85546875" customWidth="1"/>
    <col min="4" max="4" width="10.42578125" customWidth="1"/>
  </cols>
  <sheetData>
    <row r="1" spans="1:12" x14ac:dyDescent="0.25">
      <c r="A1" s="77" t="s">
        <v>168</v>
      </c>
      <c r="B1" s="77"/>
      <c r="C1" s="77"/>
    </row>
    <row r="2" spans="1:12" x14ac:dyDescent="0.25">
      <c r="A2" s="77"/>
      <c r="B2" s="77"/>
      <c r="C2" s="77"/>
    </row>
    <row r="3" spans="1:12" ht="15" customHeight="1" x14ac:dyDescent="0.5">
      <c r="A3" s="25"/>
      <c r="B3" s="25"/>
      <c r="C3" s="22"/>
    </row>
    <row r="4" spans="1:12" x14ac:dyDescent="0.25">
      <c r="C4" s="78"/>
      <c r="D4" s="78"/>
    </row>
    <row r="5" spans="1:12" x14ac:dyDescent="0.25">
      <c r="A5" s="21" t="s">
        <v>64</v>
      </c>
      <c r="B5" s="21" t="s">
        <v>71</v>
      </c>
      <c r="C5" s="21" t="s">
        <v>33</v>
      </c>
      <c r="D5" s="21" t="s">
        <v>206</v>
      </c>
      <c r="E5" s="21"/>
      <c r="F5" s="21"/>
      <c r="G5" s="21"/>
      <c r="I5" s="21"/>
      <c r="J5" s="21"/>
      <c r="K5" s="21"/>
      <c r="L5" s="21"/>
    </row>
    <row r="6" spans="1:12" x14ac:dyDescent="0.25">
      <c r="A6" t="s">
        <v>65</v>
      </c>
      <c r="B6" s="23">
        <v>0</v>
      </c>
      <c r="C6" s="29">
        <f>2*B6</f>
        <v>0</v>
      </c>
    </row>
    <row r="7" spans="1:12" x14ac:dyDescent="0.25">
      <c r="A7" t="s">
        <v>66</v>
      </c>
      <c r="B7" s="23">
        <v>0</v>
      </c>
      <c r="C7" s="29">
        <f t="shared" ref="C7:C12" si="0">2*B7</f>
        <v>0</v>
      </c>
    </row>
    <row r="8" spans="1:12" x14ac:dyDescent="0.25">
      <c r="A8" t="s">
        <v>67</v>
      </c>
      <c r="B8" s="23">
        <f>ALL_SEGMENTS!D31</f>
        <v>32766.9366249942</v>
      </c>
      <c r="C8" s="29">
        <f t="shared" si="0"/>
        <v>65533.873249988399</v>
      </c>
    </row>
    <row r="9" spans="1:12" x14ac:dyDescent="0.25">
      <c r="A9" t="s">
        <v>68</v>
      </c>
      <c r="B9" s="23">
        <f>ALL_SEGMENTS!D38</f>
        <v>49420.138426739803</v>
      </c>
      <c r="C9" s="29">
        <f t="shared" si="0"/>
        <v>98840.276853479605</v>
      </c>
    </row>
    <row r="10" spans="1:12" x14ac:dyDescent="0.25">
      <c r="A10" t="s">
        <v>69</v>
      </c>
      <c r="B10" s="23">
        <f>ALL_SEGMENTS!D48</f>
        <v>60635.423229205197</v>
      </c>
      <c r="C10" s="29">
        <f t="shared" si="0"/>
        <v>121270.84645841039</v>
      </c>
    </row>
    <row r="11" spans="1:12" x14ac:dyDescent="0.25">
      <c r="A11" t="s">
        <v>70</v>
      </c>
      <c r="B11" s="23">
        <v>0</v>
      </c>
      <c r="C11" s="29">
        <f t="shared" si="0"/>
        <v>0</v>
      </c>
    </row>
    <row r="12" spans="1:12" x14ac:dyDescent="0.25">
      <c r="A12" s="21" t="s">
        <v>19</v>
      </c>
      <c r="B12" s="23">
        <f>SUM(B6:B11)</f>
        <v>142822.49828093921</v>
      </c>
      <c r="C12" s="29">
        <f t="shared" si="0"/>
        <v>285644.99656187842</v>
      </c>
      <c r="D12" s="49">
        <f>C12/B12</f>
        <v>2</v>
      </c>
    </row>
    <row r="15" spans="1:12" x14ac:dyDescent="0.25">
      <c r="A15" t="s">
        <v>76</v>
      </c>
    </row>
    <row r="16" spans="1:12" x14ac:dyDescent="0.25">
      <c r="A16" t="s">
        <v>131</v>
      </c>
    </row>
    <row r="18" spans="1:5" x14ac:dyDescent="0.25">
      <c r="A18" t="s">
        <v>33</v>
      </c>
    </row>
    <row r="19" spans="1:5" x14ac:dyDescent="0.25">
      <c r="A19" t="s">
        <v>32</v>
      </c>
      <c r="B19" t="s">
        <v>74</v>
      </c>
      <c r="C19" t="s">
        <v>166</v>
      </c>
      <c r="D19" t="s">
        <v>27</v>
      </c>
    </row>
    <row r="20" spans="1:5" x14ac:dyDescent="0.25">
      <c r="A20" t="s">
        <v>167</v>
      </c>
      <c r="B20" t="s">
        <v>75</v>
      </c>
      <c r="C20" s="29">
        <v>2</v>
      </c>
      <c r="D20" t="s">
        <v>77</v>
      </c>
    </row>
    <row r="21" spans="1:5" x14ac:dyDescent="0.25">
      <c r="A21" t="s">
        <v>201</v>
      </c>
      <c r="B21" t="s">
        <v>75</v>
      </c>
      <c r="C21" s="73">
        <f>100/5280</f>
        <v>1.893939393939394E-2</v>
      </c>
      <c r="D21" t="s">
        <v>235</v>
      </c>
      <c r="E21">
        <f>100/5280</f>
        <v>1.893939393939394E-2</v>
      </c>
    </row>
  </sheetData>
  <mergeCells count="2">
    <mergeCell ref="A1:C2"/>
    <mergeCell ref="C4:D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I13" sqref="I13"/>
    </sheetView>
  </sheetViews>
  <sheetFormatPr defaultRowHeight="15" x14ac:dyDescent="0.25"/>
  <cols>
    <col min="1" max="1" width="27.140625" customWidth="1"/>
    <col min="2" max="2" width="10.28515625" customWidth="1"/>
    <col min="3" max="3" width="21" bestFit="1" customWidth="1"/>
    <col min="4" max="5" width="12.28515625" customWidth="1"/>
    <col min="6" max="6" width="11.7109375" customWidth="1"/>
    <col min="7" max="7" width="17.5703125" customWidth="1"/>
    <col min="8" max="8" width="12.5703125" bestFit="1" customWidth="1"/>
    <col min="12" max="12" width="17.85546875" customWidth="1"/>
    <col min="14" max="14" width="12.5703125" customWidth="1"/>
    <col min="15" max="15" width="13" customWidth="1"/>
    <col min="16" max="16" width="12.5703125" bestFit="1" customWidth="1"/>
  </cols>
  <sheetData>
    <row r="1" spans="1:16" x14ac:dyDescent="0.25">
      <c r="A1" s="77" t="s">
        <v>112</v>
      </c>
      <c r="B1" s="77"/>
      <c r="C1" s="77"/>
      <c r="D1" s="77"/>
      <c r="E1" s="77"/>
      <c r="F1" s="77"/>
    </row>
    <row r="2" spans="1:16" x14ac:dyDescent="0.25">
      <c r="A2" s="77"/>
      <c r="B2" s="77"/>
      <c r="C2" s="77"/>
      <c r="D2" s="77"/>
      <c r="E2" s="77"/>
      <c r="F2" s="77"/>
    </row>
    <row r="3" spans="1:16" ht="15" customHeight="1" x14ac:dyDescent="0.5">
      <c r="A3" s="25"/>
      <c r="B3" s="25"/>
      <c r="C3" s="25"/>
      <c r="D3" s="25"/>
      <c r="E3" s="25"/>
      <c r="F3" s="22"/>
    </row>
    <row r="4" spans="1:16" x14ac:dyDescent="0.25">
      <c r="F4" s="78" t="s">
        <v>108</v>
      </c>
      <c r="G4" s="78"/>
    </row>
    <row r="5" spans="1:16" x14ac:dyDescent="0.25">
      <c r="A5" s="21" t="s">
        <v>64</v>
      </c>
      <c r="B5" s="21" t="s">
        <v>71</v>
      </c>
      <c r="C5" s="21" t="s">
        <v>141</v>
      </c>
      <c r="D5" s="21" t="s">
        <v>81</v>
      </c>
      <c r="E5" s="21" t="s">
        <v>155</v>
      </c>
      <c r="F5" s="21" t="s">
        <v>98</v>
      </c>
      <c r="G5" s="21" t="s">
        <v>119</v>
      </c>
      <c r="H5" s="21" t="s">
        <v>149</v>
      </c>
      <c r="I5" s="21" t="s">
        <v>206</v>
      </c>
      <c r="J5" s="21"/>
      <c r="L5" s="21" t="s">
        <v>83</v>
      </c>
      <c r="M5" s="21" t="s">
        <v>85</v>
      </c>
      <c r="N5" s="21" t="s">
        <v>117</v>
      </c>
      <c r="O5" s="21" t="s">
        <v>126</v>
      </c>
      <c r="P5" s="21" t="s">
        <v>33</v>
      </c>
    </row>
    <row r="6" spans="1:16" x14ac:dyDescent="0.25">
      <c r="A6" t="s">
        <v>65</v>
      </c>
      <c r="B6" s="23">
        <v>0</v>
      </c>
      <c r="C6" s="29">
        <f>B6*10*$C$20/43560</f>
        <v>0</v>
      </c>
      <c r="D6" s="29">
        <f>B6*$C$23</f>
        <v>0</v>
      </c>
      <c r="E6" s="29">
        <f>$C$21*B6</f>
        <v>0</v>
      </c>
      <c r="F6" s="29">
        <f>B6*10*(6/12)*Materials!$F$9/27*1.4</f>
        <v>0</v>
      </c>
      <c r="G6" s="29">
        <f>B6*10*(4/12)*Materials!$F$10/27</f>
        <v>0</v>
      </c>
      <c r="H6" s="29">
        <f>SUM(C6:G6)</f>
        <v>0</v>
      </c>
      <c r="L6" t="s">
        <v>98</v>
      </c>
      <c r="M6">
        <v>6</v>
      </c>
      <c r="N6" s="23">
        <f>$B$12*10*(M6/12)/27</f>
        <v>2636.8888408465687</v>
      </c>
      <c r="O6" s="23">
        <f>1.4*N6</f>
        <v>3691.6443771851959</v>
      </c>
      <c r="P6" s="29">
        <f>O6*Materials!F6</f>
        <v>91515.864110421011</v>
      </c>
    </row>
    <row r="7" spans="1:16" x14ac:dyDescent="0.25">
      <c r="A7" t="s">
        <v>66</v>
      </c>
      <c r="B7" s="23">
        <v>0</v>
      </c>
      <c r="C7" s="29">
        <f t="shared" ref="C7:C12" si="0">B7*10*$C$20/43560</f>
        <v>0</v>
      </c>
      <c r="D7" s="29">
        <f t="shared" ref="D7:D12" si="1">B7*$C$23</f>
        <v>0</v>
      </c>
      <c r="E7" s="29">
        <f t="shared" ref="E7:E12" si="2">$C$21*B7</f>
        <v>0</v>
      </c>
      <c r="F7" s="29">
        <f>B7*10*(6/12)*Materials!$F$9/27*1.4</f>
        <v>0</v>
      </c>
      <c r="G7" s="29">
        <f>B7*10*(4/12)*Materials!$F$10/27*2.025</f>
        <v>0</v>
      </c>
      <c r="H7" s="29">
        <f t="shared" ref="H7:H12" si="3">SUM(C7:G7)</f>
        <v>0</v>
      </c>
      <c r="L7" t="s">
        <v>113</v>
      </c>
      <c r="M7">
        <v>4</v>
      </c>
      <c r="N7" s="23">
        <f>$B$12*10*(M7/12)/27</f>
        <v>1757.9258938977125</v>
      </c>
      <c r="O7" s="23">
        <f>2.025*N7</f>
        <v>3559.7999351428675</v>
      </c>
      <c r="P7" s="29">
        <f>O7*Materials!F10</f>
        <v>275136.93698719225</v>
      </c>
    </row>
    <row r="8" spans="1:16" x14ac:dyDescent="0.25">
      <c r="A8" t="s">
        <v>67</v>
      </c>
      <c r="B8" s="23">
        <f>ALL_SEGMENTS!D32</f>
        <v>4055.8664481068299</v>
      </c>
      <c r="C8" s="29">
        <f t="shared" si="0"/>
        <v>2562.6974151119202</v>
      </c>
      <c r="D8" s="29">
        <f t="shared" si="1"/>
        <v>81117.328962136598</v>
      </c>
      <c r="E8" s="29">
        <f t="shared" si="2"/>
        <v>40558.664481068299</v>
      </c>
      <c r="F8" s="29">
        <f>B8*10*(6/12)*Materials!$F$9/27*1.4</f>
        <v>26067.20387925845</v>
      </c>
      <c r="G8" s="29">
        <f>B8*10*(4/12)*Materials!$F$10/27*2.025</f>
        <v>78369.479443544216</v>
      </c>
      <c r="H8" s="29">
        <f t="shared" si="3"/>
        <v>228675.37418111949</v>
      </c>
    </row>
    <row r="9" spans="1:16" x14ac:dyDescent="0.25">
      <c r="A9" t="s">
        <v>68</v>
      </c>
      <c r="B9" s="23">
        <f>0</f>
        <v>0</v>
      </c>
      <c r="C9" s="29">
        <f t="shared" si="0"/>
        <v>0</v>
      </c>
      <c r="D9" s="29">
        <f t="shared" si="1"/>
        <v>0</v>
      </c>
      <c r="E9" s="29">
        <f t="shared" si="2"/>
        <v>0</v>
      </c>
      <c r="F9" s="29">
        <f>B9*10*(6/12)*Materials!$F$9/27*1.4</f>
        <v>0</v>
      </c>
      <c r="G9" s="29">
        <f>B9*10*(4/12)*Materials!$F$10/27*2.025</f>
        <v>0</v>
      </c>
      <c r="H9" s="29">
        <f t="shared" si="3"/>
        <v>0</v>
      </c>
    </row>
    <row r="10" spans="1:16" x14ac:dyDescent="0.25">
      <c r="A10" t="s">
        <v>69</v>
      </c>
      <c r="B10" s="23">
        <f>ALL_SEGMENTS!D49</f>
        <v>2015.88569556366</v>
      </c>
      <c r="C10" s="29">
        <f t="shared" si="0"/>
        <v>1273.7364820267903</v>
      </c>
      <c r="D10" s="29">
        <f t="shared" si="1"/>
        <v>40317.713911273197</v>
      </c>
      <c r="E10" s="29">
        <f t="shared" si="2"/>
        <v>20158.856955636598</v>
      </c>
      <c r="F10" s="29">
        <f>B10*10*(6/12)*Materials!$F$9/27*1.4</f>
        <v>12956.172027820809</v>
      </c>
      <c r="G10" s="29">
        <f>B10*10*(4/12)*Materials!$F$10/27*2.025</f>
        <v>38951.951352528813</v>
      </c>
      <c r="H10" s="29">
        <f t="shared" si="3"/>
        <v>113658.43072928622</v>
      </c>
    </row>
    <row r="11" spans="1:16" x14ac:dyDescent="0.25">
      <c r="A11" t="s">
        <v>70</v>
      </c>
      <c r="B11" s="23">
        <f>ALL_SEGMENTS!D57+ALL_SEGMENTS!D59</f>
        <v>8167.44759690098</v>
      </c>
      <c r="C11" s="29">
        <f t="shared" si="0"/>
        <v>5160.5981391251426</v>
      </c>
      <c r="D11" s="29">
        <f t="shared" si="1"/>
        <v>163348.9519380196</v>
      </c>
      <c r="E11" s="29">
        <f t="shared" si="2"/>
        <v>81674.4759690098</v>
      </c>
      <c r="F11" s="29">
        <f>B11*10*(6/12)*Materials!$F$9/27*1.4</f>
        <v>52492.488203341738</v>
      </c>
      <c r="G11" s="29">
        <f>B11*10*(4/12)*Materials!$F$10/27*2.025</f>
        <v>157815.50619111917</v>
      </c>
      <c r="H11" s="29">
        <f t="shared" si="3"/>
        <v>460492.02044061548</v>
      </c>
    </row>
    <row r="12" spans="1:16" x14ac:dyDescent="0.25">
      <c r="A12" s="21" t="s">
        <v>19</v>
      </c>
      <c r="B12" s="23">
        <f>SUM(B6:B11)</f>
        <v>14239.19974057147</v>
      </c>
      <c r="C12" s="29">
        <f t="shared" si="0"/>
        <v>8997.032036263854</v>
      </c>
      <c r="D12" s="29">
        <f t="shared" si="1"/>
        <v>284783.99481142941</v>
      </c>
      <c r="E12" s="29">
        <f t="shared" si="2"/>
        <v>142391.9974057147</v>
      </c>
      <c r="F12" s="29">
        <f>B12*10*(6/12)*Materials!$F$9/27*1.4</f>
        <v>91515.864110421011</v>
      </c>
      <c r="G12" s="29">
        <f>B12*10*(4/12)*Materials!$F$10/27*2.025</f>
        <v>275136.93698719225</v>
      </c>
      <c r="H12" s="29">
        <f t="shared" si="3"/>
        <v>802825.82535102125</v>
      </c>
      <c r="I12" s="49">
        <f>SUM(C12:G12)/B12</f>
        <v>56.38138659320478</v>
      </c>
    </row>
    <row r="15" spans="1:16" x14ac:dyDescent="0.25">
      <c r="A15" t="s">
        <v>76</v>
      </c>
    </row>
    <row r="16" spans="1:16" x14ac:dyDescent="0.25">
      <c r="A16" t="s">
        <v>136</v>
      </c>
    </row>
    <row r="18" spans="1:5" x14ac:dyDescent="0.25">
      <c r="A18" t="s">
        <v>73</v>
      </c>
    </row>
    <row r="19" spans="1:5" x14ac:dyDescent="0.25">
      <c r="A19" t="s">
        <v>32</v>
      </c>
      <c r="B19" t="s">
        <v>74</v>
      </c>
      <c r="C19" t="s">
        <v>140</v>
      </c>
      <c r="D19" t="s">
        <v>27</v>
      </c>
    </row>
    <row r="20" spans="1:5" x14ac:dyDescent="0.25">
      <c r="A20" t="s">
        <v>141</v>
      </c>
      <c r="B20" t="s">
        <v>142</v>
      </c>
      <c r="C20" s="29">
        <f>(4789.27+2967.74+500)/3</f>
        <v>2752.3366666666666</v>
      </c>
      <c r="D20" t="s">
        <v>143</v>
      </c>
    </row>
    <row r="21" spans="1:5" x14ac:dyDescent="0.25">
      <c r="A21" t="s">
        <v>154</v>
      </c>
      <c r="B21" t="s">
        <v>75</v>
      </c>
      <c r="C21" s="29">
        <v>10</v>
      </c>
    </row>
    <row r="22" spans="1:5" x14ac:dyDescent="0.25">
      <c r="A22" t="s">
        <v>162</v>
      </c>
      <c r="B22" t="s">
        <v>123</v>
      </c>
      <c r="C22" s="29">
        <f>Materials!F9</f>
        <v>24.79</v>
      </c>
      <c r="D22" t="s">
        <v>184</v>
      </c>
    </row>
    <row r="23" spans="1:5" x14ac:dyDescent="0.25">
      <c r="A23" t="s">
        <v>81</v>
      </c>
      <c r="B23" t="s">
        <v>75</v>
      </c>
      <c r="C23" s="29">
        <v>20</v>
      </c>
      <c r="D23" t="s">
        <v>77</v>
      </c>
    </row>
    <row r="24" spans="1:5" x14ac:dyDescent="0.25">
      <c r="A24" t="s">
        <v>118</v>
      </c>
      <c r="B24" s="23" t="s">
        <v>121</v>
      </c>
      <c r="C24" s="29">
        <v>77.290000000000006</v>
      </c>
      <c r="D24" t="s">
        <v>184</v>
      </c>
    </row>
    <row r="25" spans="1:5" x14ac:dyDescent="0.25">
      <c r="A25" t="s">
        <v>201</v>
      </c>
      <c r="B25" t="s">
        <v>75</v>
      </c>
      <c r="C25" s="46">
        <f>5250/5280</f>
        <v>0.99431818181818177</v>
      </c>
      <c r="D25" t="s">
        <v>204</v>
      </c>
      <c r="E25">
        <f>5250/5280</f>
        <v>0.99431818181818177</v>
      </c>
    </row>
  </sheetData>
  <mergeCells count="2">
    <mergeCell ref="A1:F2"/>
    <mergeCell ref="F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13" sqref="F13"/>
    </sheetView>
  </sheetViews>
  <sheetFormatPr defaultRowHeight="15" x14ac:dyDescent="0.25"/>
  <cols>
    <col min="1" max="1" width="21.42578125" customWidth="1"/>
    <col min="2" max="2" width="10.85546875" customWidth="1"/>
    <col min="3" max="3" width="23" customWidth="1"/>
    <col min="4" max="4" width="14.28515625" bestFit="1" customWidth="1"/>
    <col min="5" max="5" width="13.85546875" customWidth="1"/>
  </cols>
  <sheetData>
    <row r="1" spans="1:12" ht="15" customHeight="1" x14ac:dyDescent="0.5">
      <c r="A1" s="77" t="s">
        <v>115</v>
      </c>
      <c r="B1" s="24"/>
      <c r="C1" s="24"/>
    </row>
    <row r="2" spans="1:12" ht="15" customHeight="1" x14ac:dyDescent="0.5">
      <c r="A2" s="77"/>
      <c r="B2" s="24"/>
      <c r="C2" s="24"/>
    </row>
    <row r="3" spans="1:12" ht="15" customHeight="1" x14ac:dyDescent="0.5">
      <c r="A3" s="25"/>
      <c r="B3" s="25"/>
      <c r="C3" s="22"/>
    </row>
    <row r="4" spans="1:12" x14ac:dyDescent="0.25">
      <c r="C4" s="28"/>
      <c r="D4" s="28"/>
    </row>
    <row r="5" spans="1:12" x14ac:dyDescent="0.25">
      <c r="A5" s="21" t="s">
        <v>64</v>
      </c>
      <c r="B5" s="21" t="s">
        <v>71</v>
      </c>
      <c r="C5" s="21" t="s">
        <v>144</v>
      </c>
      <c r="D5" s="21" t="s">
        <v>137</v>
      </c>
      <c r="E5" s="21" t="s">
        <v>149</v>
      </c>
      <c r="F5" s="21" t="s">
        <v>206</v>
      </c>
      <c r="G5" s="21"/>
      <c r="I5" s="21"/>
      <c r="J5" s="21"/>
      <c r="K5" s="21"/>
      <c r="L5" s="21"/>
    </row>
    <row r="6" spans="1:12" x14ac:dyDescent="0.25">
      <c r="A6" t="s">
        <v>65</v>
      </c>
      <c r="B6" s="23">
        <v>0</v>
      </c>
      <c r="C6" s="29">
        <f>$C$21*B6*2</f>
        <v>0</v>
      </c>
      <c r="D6" s="29">
        <f>(B6*5)*$C$22</f>
        <v>0</v>
      </c>
      <c r="E6" s="29">
        <f>C6+D6</f>
        <v>0</v>
      </c>
    </row>
    <row r="7" spans="1:12" x14ac:dyDescent="0.25">
      <c r="A7" t="s">
        <v>66</v>
      </c>
      <c r="B7" s="23">
        <f>ALL_SEGMENTS!D20</f>
        <v>1952.8003758576399</v>
      </c>
      <c r="C7" s="29">
        <f t="shared" ref="C7:C12" si="0">$C$21*B7*2</f>
        <v>64872.028485990792</v>
      </c>
      <c r="D7" s="29">
        <f t="shared" ref="D7:D11" si="1">(B7*5)*$C$22</f>
        <v>278274.05355971371</v>
      </c>
      <c r="E7" s="29">
        <f t="shared" ref="E7:E12" si="2">C7+D7</f>
        <v>343146.08204570448</v>
      </c>
    </row>
    <row r="8" spans="1:12" x14ac:dyDescent="0.25">
      <c r="A8" t="s">
        <v>67</v>
      </c>
      <c r="B8" s="23">
        <f>ALL_SEGMENTS!D30</f>
        <v>1787.9620022853701</v>
      </c>
      <c r="C8" s="29">
        <f t="shared" si="0"/>
        <v>59396.09771591999</v>
      </c>
      <c r="D8" s="29">
        <f t="shared" si="1"/>
        <v>254784.58532566525</v>
      </c>
      <c r="E8" s="29">
        <f t="shared" si="2"/>
        <v>314180.68304158526</v>
      </c>
    </row>
    <row r="9" spans="1:12" x14ac:dyDescent="0.25">
      <c r="A9" t="s">
        <v>68</v>
      </c>
      <c r="B9" s="23">
        <f>ALL_SEGMENTS!D37</f>
        <v>2491.19657953456</v>
      </c>
      <c r="C9" s="29">
        <f t="shared" si="0"/>
        <v>82757.550372138081</v>
      </c>
      <c r="D9" s="29">
        <f t="shared" si="1"/>
        <v>354995.5125836748</v>
      </c>
      <c r="E9" s="29">
        <f t="shared" si="2"/>
        <v>437753.0629558129</v>
      </c>
    </row>
    <row r="10" spans="1:12" x14ac:dyDescent="0.25">
      <c r="A10" t="s">
        <v>69</v>
      </c>
      <c r="B10" s="23">
        <f>ALL_SEGMENTS!D46</f>
        <v>2476.6597096915002</v>
      </c>
      <c r="C10" s="29">
        <f t="shared" si="0"/>
        <v>82274.635555951638</v>
      </c>
      <c r="D10" s="29">
        <f t="shared" si="1"/>
        <v>352924.00863103877</v>
      </c>
      <c r="E10" s="29">
        <f t="shared" si="2"/>
        <v>435198.64418699039</v>
      </c>
    </row>
    <row r="11" spans="1:12" x14ac:dyDescent="0.25">
      <c r="A11" t="s">
        <v>70</v>
      </c>
      <c r="B11" s="23">
        <f>ALL_SEGMENTS!D55+ALL_SEGMENTS!D58</f>
        <v>2489.66257617679</v>
      </c>
      <c r="C11" s="29">
        <f t="shared" si="0"/>
        <v>82706.59078059296</v>
      </c>
      <c r="D11" s="29">
        <f t="shared" si="1"/>
        <v>354776.91710519255</v>
      </c>
      <c r="E11" s="29">
        <f t="shared" si="2"/>
        <v>437483.50788578554</v>
      </c>
    </row>
    <row r="12" spans="1:12" x14ac:dyDescent="0.25">
      <c r="A12" s="21" t="s">
        <v>19</v>
      </c>
      <c r="B12" s="23">
        <f>SUM(B6:B11)</f>
        <v>11198.281243545862</v>
      </c>
      <c r="C12" s="29">
        <f t="shared" si="0"/>
        <v>372006.90291059349</v>
      </c>
      <c r="D12" s="29">
        <f>(B12*5)*$C$22</f>
        <v>1595755.0772052852</v>
      </c>
      <c r="E12" s="29">
        <f t="shared" si="2"/>
        <v>1967761.9801158786</v>
      </c>
      <c r="F12" s="49">
        <f>SUM(C12:D12)/B12</f>
        <v>175.71999999999997</v>
      </c>
    </row>
    <row r="15" spans="1:12" x14ac:dyDescent="0.25">
      <c r="A15" t="s">
        <v>76</v>
      </c>
    </row>
    <row r="16" spans="1:12" x14ac:dyDescent="0.25">
      <c r="A16" t="s">
        <v>138</v>
      </c>
    </row>
    <row r="17" spans="1:5" x14ac:dyDescent="0.25">
      <c r="A17" t="s">
        <v>151</v>
      </c>
    </row>
    <row r="19" spans="1:5" x14ac:dyDescent="0.25">
      <c r="A19" t="s">
        <v>33</v>
      </c>
    </row>
    <row r="20" spans="1:5" x14ac:dyDescent="0.25">
      <c r="A20" t="s">
        <v>32</v>
      </c>
      <c r="B20" t="s">
        <v>74</v>
      </c>
      <c r="C20" t="s">
        <v>145</v>
      </c>
      <c r="D20" t="s">
        <v>27</v>
      </c>
    </row>
    <row r="21" spans="1:5" x14ac:dyDescent="0.25">
      <c r="A21" t="s">
        <v>144</v>
      </c>
      <c r="B21" t="s">
        <v>75</v>
      </c>
      <c r="C21" s="29">
        <v>16.61</v>
      </c>
      <c r="D21" t="s">
        <v>146</v>
      </c>
    </row>
    <row r="22" spans="1:5" x14ac:dyDescent="0.25">
      <c r="A22" t="s">
        <v>137</v>
      </c>
      <c r="B22" t="s">
        <v>148</v>
      </c>
      <c r="C22" s="29">
        <v>28.5</v>
      </c>
      <c r="D22" t="s">
        <v>150</v>
      </c>
    </row>
    <row r="23" spans="1:5" x14ac:dyDescent="0.25">
      <c r="A23" t="s">
        <v>201</v>
      </c>
      <c r="B23" t="s">
        <v>75</v>
      </c>
      <c r="C23" s="46">
        <f>5250/5280</f>
        <v>0.99431818181818177</v>
      </c>
      <c r="D23" t="s">
        <v>204</v>
      </c>
      <c r="E23">
        <f>5250/5280</f>
        <v>0.99431818181818177</v>
      </c>
    </row>
  </sheetData>
  <mergeCells count="1">
    <mergeCell ref="A1:A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13" sqref="F13"/>
    </sheetView>
  </sheetViews>
  <sheetFormatPr defaultRowHeight="15" x14ac:dyDescent="0.25"/>
  <cols>
    <col min="1" max="1" width="23.42578125" customWidth="1"/>
    <col min="2" max="2" width="10.5703125" customWidth="1"/>
    <col min="3" max="3" width="16.5703125" bestFit="1" customWidth="1"/>
    <col min="4" max="5" width="12.5703125" bestFit="1" customWidth="1"/>
  </cols>
  <sheetData>
    <row r="1" spans="1:6" ht="15" customHeight="1" x14ac:dyDescent="0.5">
      <c r="A1" s="77" t="s">
        <v>116</v>
      </c>
      <c r="B1" s="24"/>
      <c r="C1" s="24"/>
    </row>
    <row r="2" spans="1:6" ht="15" customHeight="1" x14ac:dyDescent="0.5">
      <c r="A2" s="77"/>
      <c r="B2" s="24"/>
      <c r="C2" s="24"/>
    </row>
    <row r="3" spans="1:6" ht="15" customHeight="1" x14ac:dyDescent="0.5">
      <c r="A3" s="25"/>
      <c r="B3" s="25"/>
      <c r="C3" s="22"/>
    </row>
    <row r="4" spans="1:6" x14ac:dyDescent="0.25">
      <c r="C4" s="78"/>
      <c r="D4" s="78"/>
    </row>
    <row r="5" spans="1:6" x14ac:dyDescent="0.25">
      <c r="A5" s="21" t="s">
        <v>64</v>
      </c>
      <c r="B5" s="21" t="s">
        <v>71</v>
      </c>
      <c r="C5" s="21" t="s">
        <v>144</v>
      </c>
      <c r="D5" s="21" t="s">
        <v>137</v>
      </c>
      <c r="E5" s="21" t="s">
        <v>149</v>
      </c>
      <c r="F5" s="21" t="s">
        <v>206</v>
      </c>
    </row>
    <row r="6" spans="1:6" x14ac:dyDescent="0.25">
      <c r="A6" t="s">
        <v>65</v>
      </c>
      <c r="B6" s="23">
        <v>0</v>
      </c>
      <c r="C6" s="29">
        <f>$C$21*B6*2</f>
        <v>0</v>
      </c>
      <c r="D6" s="29">
        <f>$C$22*5*B6</f>
        <v>0</v>
      </c>
      <c r="E6" s="29">
        <f>SUM(C6:D6)</f>
        <v>0</v>
      </c>
    </row>
    <row r="7" spans="1:6" x14ac:dyDescent="0.25">
      <c r="A7" t="s">
        <v>66</v>
      </c>
      <c r="B7" s="23">
        <f>ALL_SEGMENTS!D21</f>
        <v>315.20115691902703</v>
      </c>
      <c r="C7" s="29">
        <f t="shared" ref="C7:C12" si="0">$C$21*B7*2</f>
        <v>10470.982432850078</v>
      </c>
      <c r="D7" s="29">
        <f t="shared" ref="D7:D12" si="1">$C$22*5*B7</f>
        <v>44916.164860961355</v>
      </c>
      <c r="E7" s="29">
        <f t="shared" ref="E7:E12" si="2">SUM(C7:D7)</f>
        <v>55387.147293811431</v>
      </c>
    </row>
    <row r="8" spans="1:6" x14ac:dyDescent="0.25">
      <c r="A8" t="s">
        <v>67</v>
      </c>
      <c r="B8" s="23">
        <v>0</v>
      </c>
      <c r="C8" s="29">
        <f t="shared" si="0"/>
        <v>0</v>
      </c>
      <c r="D8" s="29">
        <f t="shared" si="1"/>
        <v>0</v>
      </c>
      <c r="E8" s="29">
        <f t="shared" si="2"/>
        <v>0</v>
      </c>
    </row>
    <row r="9" spans="1:6" x14ac:dyDescent="0.25">
      <c r="A9" t="s">
        <v>68</v>
      </c>
      <c r="B9" s="23">
        <v>0</v>
      </c>
      <c r="C9" s="29">
        <f t="shared" si="0"/>
        <v>0</v>
      </c>
      <c r="D9" s="29">
        <f t="shared" si="1"/>
        <v>0</v>
      </c>
      <c r="E9" s="29">
        <f t="shared" si="2"/>
        <v>0</v>
      </c>
    </row>
    <row r="10" spans="1:6" x14ac:dyDescent="0.25">
      <c r="A10" t="s">
        <v>69</v>
      </c>
      <c r="B10" s="23">
        <f>ALL_SEGMENTS!D47</f>
        <v>486.93641536205001</v>
      </c>
      <c r="C10" s="29">
        <f t="shared" si="0"/>
        <v>16176.027718327301</v>
      </c>
      <c r="D10" s="29">
        <f t="shared" si="1"/>
        <v>69388.439189092125</v>
      </c>
      <c r="E10" s="29">
        <f t="shared" si="2"/>
        <v>85564.466907419424</v>
      </c>
    </row>
    <row r="11" spans="1:6" x14ac:dyDescent="0.25">
      <c r="A11" t="s">
        <v>70</v>
      </c>
      <c r="B11" s="23">
        <f>ALL_SEGMENTS!D56</f>
        <v>251.36142708968001</v>
      </c>
      <c r="C11" s="29">
        <f t="shared" si="0"/>
        <v>8350.2266079191704</v>
      </c>
      <c r="D11" s="29">
        <f t="shared" si="1"/>
        <v>35819.003360279399</v>
      </c>
      <c r="E11" s="29">
        <f t="shared" si="2"/>
        <v>44169.229968198568</v>
      </c>
    </row>
    <row r="12" spans="1:6" x14ac:dyDescent="0.25">
      <c r="A12" s="21" t="s">
        <v>19</v>
      </c>
      <c r="B12" s="23">
        <f>SUM(B6:B11)</f>
        <v>1053.498999370757</v>
      </c>
      <c r="C12" s="29">
        <f t="shared" si="0"/>
        <v>34997.236759096544</v>
      </c>
      <c r="D12" s="29">
        <f t="shared" si="1"/>
        <v>150123.60741033289</v>
      </c>
      <c r="E12" s="29">
        <f t="shared" si="2"/>
        <v>185120.84416942945</v>
      </c>
      <c r="F12" s="49">
        <f>SUM(C12:D12)/B12</f>
        <v>175.72000000000003</v>
      </c>
    </row>
    <row r="15" spans="1:6" x14ac:dyDescent="0.25">
      <c r="A15" t="s">
        <v>76</v>
      </c>
    </row>
    <row r="19" spans="1:5" x14ac:dyDescent="0.25">
      <c r="A19" t="s">
        <v>33</v>
      </c>
    </row>
    <row r="20" spans="1:5" x14ac:dyDescent="0.25">
      <c r="A20" t="s">
        <v>32</v>
      </c>
      <c r="B20" t="s">
        <v>74</v>
      </c>
      <c r="C20" t="s">
        <v>145</v>
      </c>
      <c r="D20" t="s">
        <v>27</v>
      </c>
    </row>
    <row r="21" spans="1:5" x14ac:dyDescent="0.25">
      <c r="A21" t="s">
        <v>144</v>
      </c>
      <c r="B21" t="s">
        <v>75</v>
      </c>
      <c r="C21" s="29">
        <v>16.61</v>
      </c>
      <c r="D21" t="s">
        <v>146</v>
      </c>
    </row>
    <row r="22" spans="1:5" x14ac:dyDescent="0.25">
      <c r="A22" t="s">
        <v>137</v>
      </c>
      <c r="B22" t="s">
        <v>148</v>
      </c>
      <c r="C22" s="29">
        <v>28.5</v>
      </c>
      <c r="D22" t="s">
        <v>150</v>
      </c>
    </row>
    <row r="23" spans="1:5" x14ac:dyDescent="0.25">
      <c r="A23" t="s">
        <v>201</v>
      </c>
      <c r="B23" t="s">
        <v>75</v>
      </c>
      <c r="C23" s="46">
        <f>5250/5280</f>
        <v>0.99431818181818177</v>
      </c>
      <c r="D23" t="s">
        <v>204</v>
      </c>
      <c r="E23">
        <f>5250/5280</f>
        <v>0.99431818181818177</v>
      </c>
    </row>
  </sheetData>
  <mergeCells count="2">
    <mergeCell ref="C4:D4"/>
    <mergeCell ref="A1:A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28" sqref="C28"/>
    </sheetView>
  </sheetViews>
  <sheetFormatPr defaultRowHeight="15" x14ac:dyDescent="0.25"/>
  <cols>
    <col min="1" max="1" width="28.140625" customWidth="1"/>
    <col min="2" max="2" width="21.5703125" bestFit="1" customWidth="1"/>
    <col min="3" max="3" width="28.5703125" bestFit="1" customWidth="1"/>
    <col min="4" max="4" width="17.28515625" customWidth="1"/>
  </cols>
  <sheetData>
    <row r="1" spans="1:5" x14ac:dyDescent="0.25">
      <c r="A1" t="s">
        <v>32</v>
      </c>
      <c r="B1" t="s">
        <v>33</v>
      </c>
      <c r="C1" t="s">
        <v>27</v>
      </c>
    </row>
    <row r="2" spans="1:5" x14ac:dyDescent="0.25">
      <c r="A2" t="s">
        <v>29</v>
      </c>
      <c r="B2" s="29">
        <f>D15</f>
        <v>1325</v>
      </c>
      <c r="C2" t="s">
        <v>192</v>
      </c>
    </row>
    <row r="3" spans="1:5" x14ac:dyDescent="0.25">
      <c r="A3" t="s">
        <v>30</v>
      </c>
      <c r="B3" s="29">
        <v>880</v>
      </c>
      <c r="C3" t="s">
        <v>169</v>
      </c>
    </row>
    <row r="4" spans="1:5" x14ac:dyDescent="0.25">
      <c r="A4" t="s">
        <v>31</v>
      </c>
      <c r="B4" s="29">
        <v>75000</v>
      </c>
      <c r="C4" t="s">
        <v>34</v>
      </c>
    </row>
    <row r="5" spans="1:5" x14ac:dyDescent="0.25">
      <c r="A5" t="s">
        <v>187</v>
      </c>
      <c r="B5" s="29">
        <v>200</v>
      </c>
      <c r="C5" t="s">
        <v>169</v>
      </c>
    </row>
    <row r="6" spans="1:5" x14ac:dyDescent="0.25">
      <c r="A6" t="s">
        <v>35</v>
      </c>
    </row>
    <row r="7" spans="1:5" x14ac:dyDescent="0.25">
      <c r="A7" t="s">
        <v>36</v>
      </c>
      <c r="B7" t="s">
        <v>188</v>
      </c>
      <c r="C7" t="s">
        <v>189</v>
      </c>
    </row>
    <row r="10" spans="1:5" x14ac:dyDescent="0.25">
      <c r="A10" t="s">
        <v>177</v>
      </c>
    </row>
    <row r="11" spans="1:5" x14ac:dyDescent="0.25">
      <c r="A11" t="s">
        <v>32</v>
      </c>
      <c r="B11" t="s">
        <v>74</v>
      </c>
      <c r="C11" t="s">
        <v>122</v>
      </c>
      <c r="D11" t="s">
        <v>181</v>
      </c>
      <c r="E11" t="s">
        <v>27</v>
      </c>
    </row>
    <row r="12" spans="1:5" x14ac:dyDescent="0.25">
      <c r="A12" t="s">
        <v>178</v>
      </c>
      <c r="B12" t="s">
        <v>157</v>
      </c>
      <c r="C12" s="29">
        <v>200</v>
      </c>
      <c r="D12" s="29">
        <f>C12*2</f>
        <v>400</v>
      </c>
      <c r="E12" t="s">
        <v>190</v>
      </c>
    </row>
    <row r="13" spans="1:5" x14ac:dyDescent="0.25">
      <c r="A13" t="s">
        <v>179</v>
      </c>
      <c r="B13" t="s">
        <v>157</v>
      </c>
      <c r="C13" s="29">
        <v>200</v>
      </c>
      <c r="D13" s="29">
        <f>C13*2</f>
        <v>400</v>
      </c>
      <c r="E13" t="s">
        <v>191</v>
      </c>
    </row>
    <row r="14" spans="1:5" x14ac:dyDescent="0.25">
      <c r="A14" t="s">
        <v>180</v>
      </c>
      <c r="B14" t="s">
        <v>148</v>
      </c>
      <c r="C14" s="30">
        <v>3.5</v>
      </c>
      <c r="D14" s="29">
        <f>C14*5*30</f>
        <v>525</v>
      </c>
      <c r="E14" t="s">
        <v>169</v>
      </c>
    </row>
    <row r="15" spans="1:5" x14ac:dyDescent="0.25">
      <c r="A15" s="21" t="s">
        <v>19</v>
      </c>
      <c r="B15" s="21"/>
      <c r="C15" s="31"/>
      <c r="D15" s="31">
        <f>SUM(D12:D14)</f>
        <v>1325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topLeftCell="A28" zoomScaleNormal="100" workbookViewId="0">
      <selection activeCell="L14" sqref="L14"/>
    </sheetView>
  </sheetViews>
  <sheetFormatPr defaultRowHeight="15" x14ac:dyDescent="0.25"/>
  <sheetData>
    <row r="2" spans="1:6" x14ac:dyDescent="0.25">
      <c r="A2" t="s">
        <v>28</v>
      </c>
    </row>
    <row r="4" spans="1:6" x14ac:dyDescent="0.25">
      <c r="A4" t="s">
        <v>37</v>
      </c>
    </row>
    <row r="6" spans="1:6" x14ac:dyDescent="0.25">
      <c r="A6" t="s">
        <v>38</v>
      </c>
    </row>
    <row r="8" spans="1:6" x14ac:dyDescent="0.25">
      <c r="A8" t="s">
        <v>186</v>
      </c>
    </row>
    <row r="10" spans="1:6" ht="15.75" thickBot="1" x14ac:dyDescent="0.3">
      <c r="A10" t="s">
        <v>45</v>
      </c>
    </row>
    <row r="11" spans="1:6" ht="16.5" thickBot="1" x14ac:dyDescent="0.3">
      <c r="A11" s="14" t="s">
        <v>39</v>
      </c>
      <c r="B11" s="15"/>
      <c r="C11" s="15"/>
      <c r="D11" s="15"/>
      <c r="E11" s="15"/>
      <c r="F11" s="15"/>
    </row>
    <row r="12" spans="1:6" ht="16.5" thickBot="1" x14ac:dyDescent="0.3">
      <c r="A12" s="14" t="s">
        <v>40</v>
      </c>
      <c r="B12" s="16"/>
      <c r="C12" s="16"/>
      <c r="D12" s="16"/>
      <c r="E12" s="16"/>
      <c r="F12" s="16"/>
    </row>
    <row r="13" spans="1:6" ht="16.5" thickBot="1" x14ac:dyDescent="0.3">
      <c r="A13" s="14" t="s">
        <v>41</v>
      </c>
      <c r="B13" s="16"/>
      <c r="C13" s="16"/>
      <c r="D13" s="16"/>
      <c r="E13" s="16"/>
      <c r="F13" s="16"/>
    </row>
    <row r="14" spans="1:6" ht="16.5" thickBot="1" x14ac:dyDescent="0.3">
      <c r="A14" s="14" t="s">
        <v>42</v>
      </c>
      <c r="B14" s="16"/>
      <c r="C14" s="16"/>
      <c r="D14" s="16"/>
      <c r="E14" s="16"/>
      <c r="F14" s="16"/>
    </row>
    <row r="15" spans="1:6" ht="16.5" thickBot="1" x14ac:dyDescent="0.3">
      <c r="A15" s="14" t="s">
        <v>43</v>
      </c>
      <c r="B15" s="16"/>
      <c r="C15" s="16"/>
      <c r="D15" s="16"/>
      <c r="E15" s="16"/>
      <c r="F15" s="16"/>
    </row>
    <row r="16" spans="1:6" ht="16.5" thickBot="1" x14ac:dyDescent="0.3">
      <c r="A16" s="14" t="s">
        <v>44</v>
      </c>
      <c r="B16" s="16"/>
      <c r="C16" s="16"/>
      <c r="D16" s="16"/>
      <c r="E16" s="16"/>
      <c r="F16" s="16"/>
    </row>
    <row r="20" spans="1:10" x14ac:dyDescent="0.25">
      <c r="A20" s="17"/>
    </row>
    <row r="21" spans="1:10" x14ac:dyDescent="0.25">
      <c r="A21" s="18" t="s">
        <v>46</v>
      </c>
    </row>
    <row r="22" spans="1:10" x14ac:dyDescent="0.25">
      <c r="A22" s="19" t="s">
        <v>47</v>
      </c>
    </row>
    <row r="23" spans="1:10" x14ac:dyDescent="0.25">
      <c r="A23" s="19" t="s">
        <v>48</v>
      </c>
    </row>
    <row r="24" spans="1:10" x14ac:dyDescent="0.25">
      <c r="A24" s="19" t="s">
        <v>49</v>
      </c>
    </row>
    <row r="25" spans="1:10" x14ac:dyDescent="0.25">
      <c r="A25" s="20" t="s">
        <v>50</v>
      </c>
      <c r="J25" s="23"/>
    </row>
    <row r="26" spans="1:10" x14ac:dyDescent="0.25">
      <c r="A26" s="20" t="s">
        <v>51</v>
      </c>
    </row>
    <row r="27" spans="1:10" x14ac:dyDescent="0.25">
      <c r="A27" s="17"/>
    </row>
    <row r="28" spans="1:10" x14ac:dyDescent="0.25">
      <c r="A28" s="18" t="s">
        <v>52</v>
      </c>
    </row>
    <row r="29" spans="1:10" x14ac:dyDescent="0.25">
      <c r="A29" s="19" t="s">
        <v>53</v>
      </c>
    </row>
    <row r="30" spans="1:10" x14ac:dyDescent="0.25">
      <c r="A30" s="19" t="s">
        <v>54</v>
      </c>
    </row>
    <row r="31" spans="1:10" x14ac:dyDescent="0.25">
      <c r="A31" s="20" t="s">
        <v>55</v>
      </c>
    </row>
    <row r="32" spans="1:10" x14ac:dyDescent="0.25">
      <c r="A32" s="20" t="s">
        <v>56</v>
      </c>
    </row>
    <row r="33" spans="1:1" x14ac:dyDescent="0.25">
      <c r="A33" s="20" t="s">
        <v>57</v>
      </c>
    </row>
    <row r="34" spans="1:1" x14ac:dyDescent="0.25">
      <c r="A34" s="19" t="s">
        <v>49</v>
      </c>
    </row>
    <row r="35" spans="1:1" x14ac:dyDescent="0.25">
      <c r="A35" s="20" t="s">
        <v>58</v>
      </c>
    </row>
    <row r="36" spans="1:1" x14ac:dyDescent="0.25">
      <c r="A36" s="18" t="s">
        <v>59</v>
      </c>
    </row>
    <row r="37" spans="1:1" x14ac:dyDescent="0.25">
      <c r="A37" s="19" t="s">
        <v>60</v>
      </c>
    </row>
    <row r="38" spans="1:1" x14ac:dyDescent="0.25">
      <c r="A38" s="19" t="s">
        <v>61</v>
      </c>
    </row>
    <row r="39" spans="1:1" x14ac:dyDescent="0.25">
      <c r="A39" s="20" t="s">
        <v>62</v>
      </c>
    </row>
    <row r="40" spans="1:1" x14ac:dyDescent="0.25">
      <c r="A40" s="20" t="s">
        <v>63</v>
      </c>
    </row>
    <row r="41" spans="1:1" x14ac:dyDescent="0.25">
      <c r="A41" s="19" t="s">
        <v>49</v>
      </c>
    </row>
    <row r="42" spans="1:1" x14ac:dyDescent="0.25">
      <c r="A42" s="20" t="s">
        <v>50</v>
      </c>
    </row>
    <row r="43" spans="1:1" x14ac:dyDescent="0.25">
      <c r="A43" s="20" t="s">
        <v>51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L26" sqref="A1:XFD1048576"/>
    </sheetView>
  </sheetViews>
  <sheetFormatPr defaultRowHeight="15" x14ac:dyDescent="0.25"/>
  <cols>
    <col min="2" max="2" width="28.7109375" customWidth="1"/>
    <col min="3" max="3" width="12.85546875" customWidth="1"/>
    <col min="4" max="4" width="13.5703125" customWidth="1"/>
    <col min="5" max="5" width="12.85546875" customWidth="1"/>
    <col min="6" max="6" width="15.7109375" customWidth="1"/>
    <col min="7" max="7" width="12.5703125" bestFit="1" customWidth="1"/>
  </cols>
  <sheetData>
    <row r="1" spans="1:8" ht="28.5" x14ac:dyDescent="0.45">
      <c r="A1" s="79" t="s">
        <v>87</v>
      </c>
      <c r="B1" s="79"/>
      <c r="C1" s="79"/>
      <c r="D1" s="27"/>
      <c r="E1" s="27"/>
    </row>
    <row r="2" spans="1:8" ht="28.5" x14ac:dyDescent="0.45">
      <c r="A2" s="79"/>
      <c r="B2" s="79"/>
      <c r="C2" s="79"/>
      <c r="D2" s="27"/>
      <c r="E2" s="27"/>
    </row>
    <row r="4" spans="1:8" ht="17.25" x14ac:dyDescent="0.25">
      <c r="A4" s="21" t="s">
        <v>99</v>
      </c>
      <c r="B4" s="21" t="s">
        <v>83</v>
      </c>
      <c r="C4" s="21" t="s">
        <v>117</v>
      </c>
      <c r="D4" s="21" t="s">
        <v>124</v>
      </c>
      <c r="E4" s="21" t="s">
        <v>74</v>
      </c>
      <c r="F4" s="21" t="s">
        <v>122</v>
      </c>
      <c r="G4" s="21" t="s">
        <v>33</v>
      </c>
      <c r="H4" s="21" t="s">
        <v>27</v>
      </c>
    </row>
    <row r="5" spans="1:8" x14ac:dyDescent="0.25">
      <c r="A5" t="s">
        <v>100</v>
      </c>
      <c r="B5" t="s">
        <v>133</v>
      </c>
      <c r="C5" s="23">
        <f>(SUM(ALL_SEGMENTS!D3:D8,ALL_SEGMENTS!D13:D18,ALL_SEGMENTS!D24:D27))*3*(6/12)*0.1/27</f>
        <v>1016.1668817885665</v>
      </c>
      <c r="D5" t="s">
        <v>153</v>
      </c>
      <c r="E5" t="s">
        <v>120</v>
      </c>
      <c r="F5" s="29">
        <v>20</v>
      </c>
      <c r="G5" s="29">
        <f>F5*(C5)</f>
        <v>20323.337635771328</v>
      </c>
      <c r="H5" t="s">
        <v>152</v>
      </c>
    </row>
    <row r="6" spans="1:8" x14ac:dyDescent="0.25">
      <c r="A6" t="s">
        <v>101</v>
      </c>
      <c r="B6" t="s">
        <v>88</v>
      </c>
      <c r="C6" s="23">
        <f>(SUM(ALL_SEGMENTS!D9:D10,ALL_SEGMENTS!D19,ALL_SEGMENTS!D28:D29,ALL_SEGMENTS!D36,ALL_SEGMENTS!D42:D45,ALL_SEGMENTS!D53:D54))*5*(4/12)/27</f>
        <v>9827.7569129489384</v>
      </c>
      <c r="D6" s="23">
        <f>(C6)*1.4</f>
        <v>13758.859678128512</v>
      </c>
      <c r="E6" s="23" t="s">
        <v>121</v>
      </c>
      <c r="F6" s="29">
        <f>24.79</f>
        <v>24.79</v>
      </c>
      <c r="G6" s="29">
        <f>D6*F6</f>
        <v>341082.13142080582</v>
      </c>
      <c r="H6" t="s">
        <v>125</v>
      </c>
    </row>
    <row r="7" spans="1:8" x14ac:dyDescent="0.25">
      <c r="A7" t="s">
        <v>101</v>
      </c>
      <c r="B7" t="s">
        <v>96</v>
      </c>
      <c r="C7" s="23">
        <f>(SUM(ALL_SEGMENTS!D9:D10,ALL_SEGMENTS!D19,ALL_SEGMENTS!D28:D29,ALL_SEGMENTS!D36,ALL_SEGMENTS!D42:D45,ALL_SEGMENTS!D53:D54))*5*(2/12)/27</f>
        <v>4913.8784564744692</v>
      </c>
      <c r="D7" s="23">
        <f>1.4*C7</f>
        <v>6879.4298390642562</v>
      </c>
      <c r="E7" s="23" t="s">
        <v>121</v>
      </c>
      <c r="F7" s="29">
        <f>F6</f>
        <v>24.79</v>
      </c>
      <c r="G7" s="29">
        <f>F7*D7</f>
        <v>170541.06571040291</v>
      </c>
      <c r="H7" t="s">
        <v>125</v>
      </c>
    </row>
    <row r="8" spans="1:8" x14ac:dyDescent="0.25">
      <c r="A8" t="s">
        <v>101</v>
      </c>
      <c r="B8" t="s">
        <v>97</v>
      </c>
      <c r="C8" s="23">
        <f>C7</f>
        <v>4913.8784564744692</v>
      </c>
      <c r="D8" s="23"/>
      <c r="E8" s="23" t="s">
        <v>120</v>
      </c>
      <c r="F8" s="29">
        <v>40</v>
      </c>
      <c r="G8" s="29">
        <f t="shared" ref="G8" si="0">F8*(C8/27)</f>
        <v>7279.819935517733</v>
      </c>
    </row>
    <row r="9" spans="1:8" x14ac:dyDescent="0.25">
      <c r="A9" t="s">
        <v>102</v>
      </c>
      <c r="B9" t="s">
        <v>98</v>
      </c>
      <c r="C9" s="23">
        <f>(SUM(ALL_SEGMENTS!D32,ALL_SEGMENTS!D49,ALL_SEGMENTS!D57,ALL_SEGMENTS!D59))*10*(6/12)/27</f>
        <v>2636.8888408465687</v>
      </c>
      <c r="D9" s="23">
        <f>1.4*C9</f>
        <v>3691.6443771851959</v>
      </c>
      <c r="E9" s="23" t="s">
        <v>121</v>
      </c>
      <c r="F9" s="29">
        <f>F6</f>
        <v>24.79</v>
      </c>
      <c r="G9" s="29">
        <f>F9*D9</f>
        <v>91515.864110421011</v>
      </c>
      <c r="H9" t="s">
        <v>125</v>
      </c>
    </row>
    <row r="10" spans="1:8" x14ac:dyDescent="0.25">
      <c r="A10" t="s">
        <v>102</v>
      </c>
      <c r="B10" t="s">
        <v>118</v>
      </c>
      <c r="C10" s="23">
        <f>(SUM(ALL_SEGMENTS!D32,ALL_SEGMENTS!D49,ALL_SEGMENTS!D57,ALL_SEGMENTS!D59))*10*(4/12)/27</f>
        <v>1757.9258938977125</v>
      </c>
      <c r="D10" s="23">
        <f>C10*2.025</f>
        <v>3559.7999351428675</v>
      </c>
      <c r="E10" s="23" t="s">
        <v>121</v>
      </c>
      <c r="F10" s="29">
        <v>77.290000000000006</v>
      </c>
      <c r="G10" s="29">
        <f>D10*F10</f>
        <v>275136.93698719225</v>
      </c>
      <c r="H10" t="s">
        <v>125</v>
      </c>
    </row>
    <row r="11" spans="1:8" x14ac:dyDescent="0.25">
      <c r="A11" t="s">
        <v>12</v>
      </c>
      <c r="B11" t="s">
        <v>144</v>
      </c>
      <c r="C11" t="s">
        <v>153</v>
      </c>
      <c r="D11" t="s">
        <v>153</v>
      </c>
      <c r="E11" s="23" t="s">
        <v>75</v>
      </c>
      <c r="F11" s="29">
        <v>16.61</v>
      </c>
      <c r="G11" s="29">
        <f>F11*'Br-A'!B12*2</f>
        <v>372006.90291059349</v>
      </c>
    </row>
    <row r="12" spans="1:8" x14ac:dyDescent="0.25">
      <c r="A12" t="s">
        <v>173</v>
      </c>
      <c r="B12" t="s">
        <v>172</v>
      </c>
      <c r="E12" s="23" t="s">
        <v>157</v>
      </c>
      <c r="F12" s="29">
        <v>200</v>
      </c>
      <c r="H12" t="s">
        <v>146</v>
      </c>
    </row>
    <row r="14" spans="1:8" x14ac:dyDescent="0.25">
      <c r="A14" t="s">
        <v>129</v>
      </c>
    </row>
    <row r="15" spans="1:8" ht="27" customHeight="1" x14ac:dyDescent="0.25">
      <c r="A15" t="s">
        <v>132</v>
      </c>
      <c r="C15" s="23"/>
      <c r="D15" s="23"/>
      <c r="E15" s="23"/>
    </row>
    <row r="16" spans="1:8" x14ac:dyDescent="0.25">
      <c r="A16" t="s">
        <v>134</v>
      </c>
      <c r="C16" s="23"/>
      <c r="D16" s="23"/>
      <c r="E16" s="23"/>
    </row>
  </sheetData>
  <mergeCells count="1">
    <mergeCell ref="A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C1" zoomScale="70" zoomScaleNormal="70" workbookViewId="0">
      <pane ySplit="1" topLeftCell="A23" activePane="bottomLeft" state="frozen"/>
      <selection pane="bottomLeft" activeCell="L63" sqref="L63"/>
    </sheetView>
  </sheetViews>
  <sheetFormatPr defaultRowHeight="14.25" x14ac:dyDescent="0.2"/>
  <cols>
    <col min="1" max="1" width="13.7109375" style="1" customWidth="1"/>
    <col min="2" max="2" width="12.85546875" style="1" bestFit="1" customWidth="1"/>
    <col min="3" max="3" width="23.140625" style="1" bestFit="1" customWidth="1"/>
    <col min="4" max="4" width="16.85546875" style="1" bestFit="1" customWidth="1"/>
    <col min="5" max="5" width="10.7109375" style="1" bestFit="1" customWidth="1"/>
    <col min="6" max="6" width="10.7109375" style="39" customWidth="1"/>
    <col min="7" max="7" width="29.140625" style="1" customWidth="1"/>
    <col min="8" max="9" width="17.5703125" style="1" customWidth="1"/>
    <col min="10" max="10" width="23.85546875" style="1" bestFit="1" customWidth="1"/>
    <col min="11" max="12" width="17.5703125" style="1" customWidth="1"/>
    <col min="13" max="13" width="54.85546875" style="1" customWidth="1"/>
    <col min="14" max="14" width="9.28515625" style="1" customWidth="1"/>
    <col min="15" max="16384" width="9.140625" style="1"/>
  </cols>
  <sheetData>
    <row r="1" spans="1:14" s="4" customFormat="1" x14ac:dyDescent="0.2">
      <c r="A1" s="4" t="s">
        <v>0</v>
      </c>
      <c r="B1" s="4" t="s">
        <v>1</v>
      </c>
      <c r="C1" s="4" t="s">
        <v>2</v>
      </c>
      <c r="D1" s="4" t="s">
        <v>17</v>
      </c>
      <c r="E1" s="4" t="s">
        <v>18</v>
      </c>
      <c r="F1" s="45" t="s">
        <v>196</v>
      </c>
      <c r="H1" s="4" t="s">
        <v>33</v>
      </c>
      <c r="I1" s="4" t="s">
        <v>183</v>
      </c>
      <c r="J1" s="4" t="s">
        <v>185</v>
      </c>
      <c r="K1" s="4" t="s">
        <v>149</v>
      </c>
      <c r="L1" s="4" t="s">
        <v>205</v>
      </c>
      <c r="M1" s="4" t="s">
        <v>27</v>
      </c>
    </row>
    <row r="2" spans="1:14" ht="31.5" customHeight="1" x14ac:dyDescent="0.2">
      <c r="A2" s="1">
        <v>0</v>
      </c>
      <c r="B2" s="1">
        <v>0</v>
      </c>
      <c r="C2" s="8" t="s">
        <v>194</v>
      </c>
      <c r="D2" s="2">
        <v>0</v>
      </c>
      <c r="E2" s="1">
        <f>D2/5280</f>
        <v>0</v>
      </c>
    </row>
    <row r="3" spans="1:14" x14ac:dyDescent="0.2">
      <c r="A3" s="1">
        <v>1</v>
      </c>
      <c r="B3" s="1">
        <v>31</v>
      </c>
      <c r="C3" s="1" t="s">
        <v>3</v>
      </c>
      <c r="D3" s="2">
        <v>31897.6020643267</v>
      </c>
      <c r="E3" s="3">
        <v>6.0412125121830869</v>
      </c>
      <c r="F3" s="40"/>
      <c r="G3" s="3"/>
      <c r="H3" s="33">
        <f>'A1'!F5</f>
        <v>169078.53404092891</v>
      </c>
      <c r="I3" s="33">
        <f>0.4*H3</f>
        <v>67631.413616371559</v>
      </c>
      <c r="J3" s="33">
        <f>0.2*H3</f>
        <v>33815.70680818578</v>
      </c>
      <c r="K3" s="33">
        <f>SUM(H3:J3)</f>
        <v>270525.65446548624</v>
      </c>
      <c r="L3" s="33">
        <f>D3*'A1'!$C$24</f>
        <v>3020.6062560915434</v>
      </c>
    </row>
    <row r="4" spans="1:14" x14ac:dyDescent="0.2">
      <c r="A4" s="1">
        <v>2</v>
      </c>
      <c r="B4" s="1">
        <v>8</v>
      </c>
      <c r="C4" s="1" t="s">
        <v>4</v>
      </c>
      <c r="D4" s="2">
        <v>5419.4571811911001</v>
      </c>
      <c r="E4" s="3">
        <v>1.0264123449225568</v>
      </c>
      <c r="F4" s="40"/>
      <c r="G4" s="3"/>
      <c r="H4" s="33">
        <f>'A2'!F6</f>
        <v>110018.59001722494</v>
      </c>
      <c r="I4" s="33">
        <f t="shared" ref="I4:I62" si="0">0.4*H4</f>
        <v>44007.436006889977</v>
      </c>
      <c r="J4" s="33">
        <f t="shared" ref="J4:J62" si="1">0.2*H4</f>
        <v>22003.718003444988</v>
      </c>
      <c r="K4" s="33">
        <f t="shared" ref="K4:K62" si="2">SUM(H4:J4)</f>
        <v>176029.74402755991</v>
      </c>
      <c r="L4" s="33">
        <f>D4*'A2'!$C$25</f>
        <v>513.20617246127836</v>
      </c>
    </row>
    <row r="5" spans="1:14" x14ac:dyDescent="0.2">
      <c r="A5" s="1">
        <v>3</v>
      </c>
      <c r="B5" s="1">
        <v>16</v>
      </c>
      <c r="C5" s="1" t="s">
        <v>5</v>
      </c>
      <c r="D5" s="2">
        <v>11892.3107083501</v>
      </c>
      <c r="E5" s="3">
        <v>2.2523315735511553</v>
      </c>
      <c r="F5" s="40"/>
      <c r="G5" s="3"/>
      <c r="H5" s="33">
        <f>'A3'!I6</f>
        <v>717114.2557303533</v>
      </c>
      <c r="I5" s="33">
        <f t="shared" si="0"/>
        <v>286845.70229214133</v>
      </c>
      <c r="J5" s="33">
        <f t="shared" si="1"/>
        <v>143422.85114607066</v>
      </c>
      <c r="K5" s="33">
        <f t="shared" si="2"/>
        <v>1147382.8091685653</v>
      </c>
      <c r="L5" s="33">
        <f>D5*'A3'!$C$29</f>
        <v>1126.1657867755775</v>
      </c>
    </row>
    <row r="6" spans="1:14" x14ac:dyDescent="0.2">
      <c r="A6" s="1">
        <v>4</v>
      </c>
      <c r="B6" s="1">
        <v>4</v>
      </c>
      <c r="C6" s="1" t="s">
        <v>6</v>
      </c>
      <c r="D6" s="2">
        <v>2623.8928858112699</v>
      </c>
      <c r="E6" s="3">
        <v>0.49694941019152838</v>
      </c>
      <c r="F6" s="40"/>
      <c r="G6" s="3"/>
      <c r="H6" s="33">
        <f>'A4'!I6</f>
        <v>341894.99047604355</v>
      </c>
      <c r="I6" s="33">
        <f t="shared" si="0"/>
        <v>136757.99619041741</v>
      </c>
      <c r="J6" s="33">
        <f t="shared" si="1"/>
        <v>68378.998095208706</v>
      </c>
      <c r="K6" s="33">
        <f t="shared" si="2"/>
        <v>547031.98476166965</v>
      </c>
      <c r="L6" s="33">
        <f>D6*'A4'!$C$29</f>
        <v>248.47470509576419</v>
      </c>
    </row>
    <row r="7" spans="1:14" x14ac:dyDescent="0.2">
      <c r="A7" s="1">
        <v>5</v>
      </c>
      <c r="B7" s="1">
        <v>1</v>
      </c>
      <c r="C7" s="1" t="s">
        <v>7</v>
      </c>
      <c r="D7" s="2">
        <v>695.99444761750306</v>
      </c>
      <c r="E7" s="3">
        <v>0.13181713023058769</v>
      </c>
      <c r="F7" s="40"/>
      <c r="G7" s="3"/>
      <c r="H7" s="33">
        <f>'A5'!H6</f>
        <v>28049.039755948768</v>
      </c>
      <c r="I7" s="33">
        <f t="shared" si="0"/>
        <v>11219.615902379508</v>
      </c>
      <c r="J7" s="33">
        <f t="shared" si="1"/>
        <v>5609.807951189754</v>
      </c>
      <c r="K7" s="33">
        <f t="shared" si="2"/>
        <v>44878.463609518032</v>
      </c>
      <c r="L7" s="33">
        <f>D7*'A5'!$C$28</f>
        <v>65.908565115293854</v>
      </c>
    </row>
    <row r="8" spans="1:14" x14ac:dyDescent="0.2">
      <c r="A8" s="1">
        <v>6</v>
      </c>
      <c r="B8" s="1">
        <v>5</v>
      </c>
      <c r="C8" s="1" t="s">
        <v>8</v>
      </c>
      <c r="D8" s="2">
        <v>2413.4856665514098</v>
      </c>
      <c r="E8" s="3">
        <v>0.45709955805897912</v>
      </c>
      <c r="F8" s="40"/>
      <c r="G8" s="3"/>
      <c r="H8" s="33">
        <f>'A6'!H6</f>
        <v>145534.79302131417</v>
      </c>
      <c r="I8" s="33">
        <f t="shared" si="0"/>
        <v>58213.917208525672</v>
      </c>
      <c r="J8" s="33">
        <f t="shared" si="1"/>
        <v>29106.958604262836</v>
      </c>
      <c r="K8" s="33">
        <f t="shared" si="2"/>
        <v>232855.66883410269</v>
      </c>
      <c r="L8" s="33">
        <f>D8*'A6'!$C$28</f>
        <v>228.54977902948957</v>
      </c>
    </row>
    <row r="9" spans="1:14" x14ac:dyDescent="0.2">
      <c r="A9" s="1">
        <v>7</v>
      </c>
      <c r="B9" s="1">
        <v>3</v>
      </c>
      <c r="C9" s="1" t="s">
        <v>9</v>
      </c>
      <c r="D9" s="2">
        <v>5075.9603029441996</v>
      </c>
      <c r="E9" s="3">
        <v>0.96135611798185594</v>
      </c>
      <c r="F9" s="40"/>
      <c r="G9" s="3"/>
      <c r="H9" s="33">
        <f>'B1'!G6</f>
        <v>53447.036185655626</v>
      </c>
      <c r="I9" s="33">
        <f t="shared" si="0"/>
        <v>21378.814474262253</v>
      </c>
      <c r="J9" s="33">
        <f t="shared" si="1"/>
        <v>10689.407237131127</v>
      </c>
      <c r="K9" s="33">
        <f t="shared" si="2"/>
        <v>85515.257897049014</v>
      </c>
      <c r="L9" s="33">
        <f>D9*'B1'!$C$29</f>
        <v>961.35611798185596</v>
      </c>
      <c r="N9" s="2"/>
    </row>
    <row r="10" spans="1:14" x14ac:dyDescent="0.2">
      <c r="A10" s="1">
        <v>8</v>
      </c>
      <c r="B10" s="1">
        <v>3</v>
      </c>
      <c r="C10" s="1" t="s">
        <v>10</v>
      </c>
      <c r="D10" s="2">
        <v>3242.06474448053</v>
      </c>
      <c r="E10" s="7">
        <v>0.61402741372737313</v>
      </c>
      <c r="F10" s="40"/>
      <c r="G10" s="32"/>
      <c r="H10" s="33">
        <f>'B2'!G6</f>
        <v>34137.136890921443</v>
      </c>
      <c r="I10" s="33">
        <f t="shared" si="0"/>
        <v>13654.854756368579</v>
      </c>
      <c r="J10" s="33">
        <f t="shared" si="1"/>
        <v>6827.4273781842894</v>
      </c>
      <c r="K10" s="33">
        <f t="shared" si="2"/>
        <v>54619.419025474315</v>
      </c>
      <c r="L10" s="33">
        <f>D10*'B2'!$C$29</f>
        <v>614.02741372737307</v>
      </c>
    </row>
    <row r="11" spans="1:14" x14ac:dyDescent="0.2">
      <c r="D11" s="2"/>
      <c r="E11" s="5">
        <f>SUM(E3:E10)</f>
        <v>11.981206060847121</v>
      </c>
      <c r="F11" s="41"/>
      <c r="G11" s="1" t="s">
        <v>19</v>
      </c>
      <c r="H11" s="34">
        <f>SUM(H3:H10)</f>
        <v>1599274.3761183906</v>
      </c>
      <c r="I11" s="34">
        <f t="shared" si="0"/>
        <v>639709.75044735626</v>
      </c>
      <c r="J11" s="34">
        <f t="shared" si="1"/>
        <v>319854.87522367813</v>
      </c>
      <c r="K11" s="34">
        <f>SUM(H11:J11)</f>
        <v>2558839.001789425</v>
      </c>
      <c r="L11" s="34">
        <f>SUM(L3:L10)</f>
        <v>6778.2947962781755</v>
      </c>
    </row>
    <row r="12" spans="1:14" ht="28.5" x14ac:dyDescent="0.2">
      <c r="A12" s="1">
        <v>0</v>
      </c>
      <c r="B12" s="1">
        <v>0</v>
      </c>
      <c r="C12" s="8" t="s">
        <v>193</v>
      </c>
      <c r="D12" s="2">
        <v>0</v>
      </c>
      <c r="E12" s="3">
        <v>0</v>
      </c>
      <c r="F12" s="40"/>
      <c r="H12" s="33"/>
      <c r="I12" s="33"/>
      <c r="J12" s="33"/>
      <c r="K12" s="33"/>
      <c r="L12" s="33"/>
    </row>
    <row r="13" spans="1:14" x14ac:dyDescent="0.2">
      <c r="A13" s="1">
        <v>1</v>
      </c>
      <c r="B13" s="1">
        <v>46</v>
      </c>
      <c r="C13" s="1" t="s">
        <v>3</v>
      </c>
      <c r="D13" s="2">
        <v>50958.7499170714</v>
      </c>
      <c r="E13" s="3">
        <v>9.6512783933847341</v>
      </c>
      <c r="F13" s="40"/>
      <c r="H13" s="33">
        <f>'A1'!F6</f>
        <v>270115.31196486531</v>
      </c>
      <c r="I13" s="33">
        <f t="shared" si="0"/>
        <v>108046.12478594613</v>
      </c>
      <c r="J13" s="33">
        <f t="shared" si="1"/>
        <v>54023.062392973065</v>
      </c>
      <c r="K13" s="33">
        <f t="shared" si="2"/>
        <v>432184.49914378446</v>
      </c>
      <c r="L13" s="33">
        <f>D13*'A1'!$C$24</f>
        <v>4825.6391966923675</v>
      </c>
    </row>
    <row r="14" spans="1:14" x14ac:dyDescent="0.2">
      <c r="A14" s="1">
        <v>2</v>
      </c>
      <c r="B14" s="1">
        <v>12</v>
      </c>
      <c r="C14" s="1" t="s">
        <v>4</v>
      </c>
      <c r="D14" s="2">
        <v>4500.61050335444</v>
      </c>
      <c r="E14" s="3">
        <v>0.85238835290803783</v>
      </c>
      <c r="F14" s="40"/>
      <c r="H14" s="33">
        <f>'A2'!F7</f>
        <v>91365.390525503361</v>
      </c>
      <c r="I14" s="33">
        <f t="shared" si="0"/>
        <v>36546.156210201349</v>
      </c>
      <c r="J14" s="33">
        <f t="shared" si="1"/>
        <v>18273.078105100674</v>
      </c>
      <c r="K14" s="33">
        <f t="shared" si="2"/>
        <v>146184.62484080537</v>
      </c>
      <c r="L14" s="33">
        <f>D14*'A2'!$C$25</f>
        <v>426.19417645401893</v>
      </c>
    </row>
    <row r="15" spans="1:14" x14ac:dyDescent="0.2">
      <c r="A15" s="1">
        <v>3</v>
      </c>
      <c r="B15" s="1">
        <v>21</v>
      </c>
      <c r="C15" s="1" t="s">
        <v>5</v>
      </c>
      <c r="D15" s="2">
        <v>10801.1043778599</v>
      </c>
      <c r="E15" s="3">
        <v>2.0456637079280111</v>
      </c>
      <c r="F15" s="40"/>
      <c r="H15" s="33">
        <f>'A3'!I7</f>
        <v>651313.78728242673</v>
      </c>
      <c r="I15" s="33">
        <f t="shared" si="0"/>
        <v>260525.51491297071</v>
      </c>
      <c r="J15" s="33">
        <f t="shared" si="1"/>
        <v>130262.75745648536</v>
      </c>
      <c r="K15" s="33">
        <f t="shared" si="2"/>
        <v>1042102.0596518829</v>
      </c>
      <c r="L15" s="33">
        <f>D15*'A3'!$C$29</f>
        <v>1022.8318539640056</v>
      </c>
    </row>
    <row r="16" spans="1:14" x14ac:dyDescent="0.2">
      <c r="A16" s="1">
        <v>4</v>
      </c>
      <c r="B16" s="1">
        <v>17</v>
      </c>
      <c r="C16" s="1" t="s">
        <v>6</v>
      </c>
      <c r="D16" s="50">
        <f>9718.56348911112+D19</f>
        <v>12123.17755019803</v>
      </c>
      <c r="E16" s="51">
        <f>1.84063702445286+E19</f>
        <v>2.2960563542041688</v>
      </c>
      <c r="F16" s="40"/>
      <c r="H16" s="33">
        <f>'A4'!I7</f>
        <v>1579658.1085598741</v>
      </c>
      <c r="I16" s="33">
        <f t="shared" si="0"/>
        <v>631863.24342394969</v>
      </c>
      <c r="J16" s="33">
        <f t="shared" si="1"/>
        <v>315931.62171197485</v>
      </c>
      <c r="K16" s="33">
        <f t="shared" si="2"/>
        <v>2527452.9736957988</v>
      </c>
      <c r="L16" s="33">
        <f>D16*'A4'!$C$29</f>
        <v>1148.0281771020861</v>
      </c>
    </row>
    <row r="17" spans="1:12" x14ac:dyDescent="0.2">
      <c r="A17" s="1">
        <v>5</v>
      </c>
      <c r="B17" s="1">
        <v>2</v>
      </c>
      <c r="C17" s="1" t="s">
        <v>7</v>
      </c>
      <c r="D17" s="2">
        <v>973.22943982320703</v>
      </c>
      <c r="E17" s="3">
        <v>0.18432375754227406</v>
      </c>
      <c r="F17" s="40"/>
      <c r="H17" s="33">
        <f>'A5'!H7</f>
        <v>39221.794574233587</v>
      </c>
      <c r="I17" s="33">
        <f t="shared" si="0"/>
        <v>15688.717829693436</v>
      </c>
      <c r="J17" s="33">
        <f t="shared" si="1"/>
        <v>7844.3589148467181</v>
      </c>
      <c r="K17" s="33">
        <f t="shared" si="2"/>
        <v>62754.871318773745</v>
      </c>
      <c r="L17" s="33">
        <f>D17*'A5'!$C$28</f>
        <v>92.161878771137026</v>
      </c>
    </row>
    <row r="18" spans="1:12" x14ac:dyDescent="0.2">
      <c r="A18" s="1">
        <v>6</v>
      </c>
      <c r="B18" s="1">
        <v>5</v>
      </c>
      <c r="C18" s="1" t="s">
        <v>8</v>
      </c>
      <c r="D18" s="2">
        <v>2294.9296742135498</v>
      </c>
      <c r="E18" s="3">
        <v>0.43464577163135415</v>
      </c>
      <c r="F18" s="40"/>
      <c r="H18" s="33">
        <f>'A6'!H7</f>
        <v>138385.78772766312</v>
      </c>
      <c r="I18" s="33">
        <f t="shared" si="0"/>
        <v>55354.315091065248</v>
      </c>
      <c r="J18" s="33">
        <f t="shared" si="1"/>
        <v>27677.157545532624</v>
      </c>
      <c r="K18" s="33">
        <f t="shared" si="2"/>
        <v>221417.26036426099</v>
      </c>
      <c r="L18" s="33">
        <f>D18*'A6'!$C$28</f>
        <v>217.32288581567707</v>
      </c>
    </row>
    <row r="19" spans="1:12" hidden="1" x14ac:dyDescent="0.2">
      <c r="A19" s="1">
        <v>7</v>
      </c>
      <c r="B19" s="1">
        <v>3</v>
      </c>
      <c r="C19" s="37" t="s">
        <v>11</v>
      </c>
      <c r="D19" s="44">
        <v>2404.6140610869102</v>
      </c>
      <c r="E19" s="38">
        <v>0.45541932975130872</v>
      </c>
      <c r="F19" s="40"/>
      <c r="G19" s="43" t="s">
        <v>207</v>
      </c>
      <c r="H19" s="33"/>
      <c r="I19" s="33"/>
      <c r="J19" s="33"/>
      <c r="K19" s="33"/>
      <c r="L19" s="33"/>
    </row>
    <row r="20" spans="1:12" x14ac:dyDescent="0.2">
      <c r="A20" s="1">
        <v>8</v>
      </c>
      <c r="B20" s="1">
        <v>6</v>
      </c>
      <c r="C20" s="1" t="s">
        <v>12</v>
      </c>
      <c r="D20" s="2">
        <v>1952.8003758576399</v>
      </c>
      <c r="E20" s="3">
        <v>0.36984855603364392</v>
      </c>
      <c r="F20" s="40"/>
      <c r="H20" s="33">
        <f>'Br-A'!E7</f>
        <v>343146.08204570448</v>
      </c>
      <c r="I20" s="33">
        <f t="shared" si="0"/>
        <v>137258.43281828178</v>
      </c>
      <c r="J20" s="33">
        <f t="shared" si="1"/>
        <v>68629.216409140892</v>
      </c>
      <c r="K20" s="33">
        <f t="shared" si="2"/>
        <v>549033.73127312714</v>
      </c>
      <c r="L20" s="33">
        <f>D20*'Br-A'!$C$23</f>
        <v>1941.7049191766305</v>
      </c>
    </row>
    <row r="21" spans="1:12" x14ac:dyDescent="0.2">
      <c r="A21" s="1">
        <v>9</v>
      </c>
      <c r="B21" s="1">
        <v>1</v>
      </c>
      <c r="C21" s="1" t="s">
        <v>13</v>
      </c>
      <c r="D21" s="2">
        <v>315.20115691902703</v>
      </c>
      <c r="E21" s="7">
        <v>5.9697188810421783E-2</v>
      </c>
      <c r="F21" s="40"/>
      <c r="H21" s="33">
        <f>'Br-B'!E7</f>
        <v>55387.147293811431</v>
      </c>
      <c r="I21" s="33">
        <f t="shared" si="0"/>
        <v>22154.858917524572</v>
      </c>
      <c r="J21" s="33">
        <f t="shared" si="1"/>
        <v>11077.429458762286</v>
      </c>
      <c r="K21" s="33">
        <f t="shared" si="2"/>
        <v>88619.43567009829</v>
      </c>
      <c r="L21" s="33">
        <f>D21*'Br-B'!$C$23</f>
        <v>313.41024125471438</v>
      </c>
    </row>
    <row r="22" spans="1:12" x14ac:dyDescent="0.2">
      <c r="D22" s="2"/>
      <c r="E22" s="5">
        <f>SUM(E13:E21)</f>
        <v>16.349321412193952</v>
      </c>
      <c r="F22" s="41"/>
      <c r="G22" s="1" t="s">
        <v>19</v>
      </c>
      <c r="H22" s="34">
        <f>SUM(H13:H21)</f>
        <v>3168593.4099740824</v>
      </c>
      <c r="I22" s="34">
        <f t="shared" si="0"/>
        <v>1267437.363989633</v>
      </c>
      <c r="J22" s="34">
        <f t="shared" si="1"/>
        <v>633718.68199481652</v>
      </c>
      <c r="K22" s="34">
        <f t="shared" si="2"/>
        <v>5069749.4559585322</v>
      </c>
      <c r="L22" s="34">
        <f>SUM(L13:L21)</f>
        <v>9987.293329230637</v>
      </c>
    </row>
    <row r="23" spans="1:12" ht="28.5" x14ac:dyDescent="0.2">
      <c r="A23" s="1">
        <v>0</v>
      </c>
      <c r="B23" s="1">
        <v>0</v>
      </c>
      <c r="C23" s="8" t="s">
        <v>21</v>
      </c>
      <c r="D23" s="2">
        <v>0</v>
      </c>
      <c r="E23" s="3">
        <v>0</v>
      </c>
      <c r="F23" s="40"/>
      <c r="H23" s="33"/>
      <c r="I23" s="33"/>
      <c r="J23" s="33"/>
      <c r="K23" s="33"/>
      <c r="L23" s="33"/>
    </row>
    <row r="24" spans="1:12" x14ac:dyDescent="0.2">
      <c r="A24" s="1">
        <v>1</v>
      </c>
      <c r="B24" s="1">
        <v>22</v>
      </c>
      <c r="C24" s="1" t="s">
        <v>3</v>
      </c>
      <c r="D24" s="2">
        <v>27423.9652483176</v>
      </c>
      <c r="E24" s="3">
        <v>5.1939328121813633</v>
      </c>
      <c r="F24" s="40"/>
      <c r="H24" s="33">
        <f>'A1'!F7</f>
        <v>145365.27957255373</v>
      </c>
      <c r="I24" s="33">
        <f t="shared" si="0"/>
        <v>58146.111829021494</v>
      </c>
      <c r="J24" s="33">
        <f t="shared" si="1"/>
        <v>29073.055914510747</v>
      </c>
      <c r="K24" s="33">
        <f t="shared" si="2"/>
        <v>232584.44731608598</v>
      </c>
      <c r="L24" s="33">
        <f>D24*'A1'!$C$24</f>
        <v>2596.9664060906816</v>
      </c>
    </row>
    <row r="25" spans="1:12" x14ac:dyDescent="0.2">
      <c r="A25" s="1">
        <v>2</v>
      </c>
      <c r="B25" s="1">
        <v>4</v>
      </c>
      <c r="C25" s="1" t="s">
        <v>4</v>
      </c>
      <c r="D25" s="2">
        <v>7416.6533857139302</v>
      </c>
      <c r="E25" s="3">
        <v>1.4046692018397595</v>
      </c>
      <c r="F25" s="40"/>
      <c r="H25" s="33">
        <f>'A2'!F8</f>
        <v>150563.00305769526</v>
      </c>
      <c r="I25" s="33">
        <f t="shared" si="0"/>
        <v>60225.201223078104</v>
      </c>
      <c r="J25" s="33">
        <f t="shared" si="1"/>
        <v>30112.600611539052</v>
      </c>
      <c r="K25" s="33">
        <f t="shared" si="2"/>
        <v>240900.80489231242</v>
      </c>
      <c r="L25" s="33">
        <f>D25*'A2'!$C$25</f>
        <v>702.33460091987979</v>
      </c>
    </row>
    <row r="26" spans="1:12" x14ac:dyDescent="0.2">
      <c r="A26" s="1">
        <v>3</v>
      </c>
      <c r="B26" s="1">
        <v>1</v>
      </c>
      <c r="C26" s="1" t="s">
        <v>5</v>
      </c>
      <c r="D26" s="2">
        <v>826.35886316608605</v>
      </c>
      <c r="E26" s="3">
        <v>0.15650736044812236</v>
      </c>
      <c r="F26" s="40"/>
      <c r="H26" s="33">
        <f>'A3'!I8</f>
        <v>49829.989785706101</v>
      </c>
      <c r="I26" s="33">
        <f t="shared" si="0"/>
        <v>19931.995914282441</v>
      </c>
      <c r="J26" s="33">
        <f t="shared" si="1"/>
        <v>9965.9979571412205</v>
      </c>
      <c r="K26" s="33">
        <f t="shared" si="2"/>
        <v>79727.983657129764</v>
      </c>
      <c r="L26" s="33">
        <f>D26*'A3'!$C$29</f>
        <v>78.253680224061185</v>
      </c>
    </row>
    <row r="27" spans="1:12" x14ac:dyDescent="0.2">
      <c r="A27" s="1">
        <v>4</v>
      </c>
      <c r="B27" s="1">
        <v>1</v>
      </c>
      <c r="C27" s="1" t="s">
        <v>6</v>
      </c>
      <c r="D27" s="50">
        <f>116.534378197191+D29</f>
        <v>10648.516808375691</v>
      </c>
      <c r="E27" s="51">
        <f>0.0220709049615892+E29</f>
        <v>2.0167645470408502</v>
      </c>
      <c r="F27" s="40"/>
      <c r="H27" s="33">
        <f>'A4'!I8</f>
        <v>1387508.8318088688</v>
      </c>
      <c r="I27" s="33">
        <f t="shared" si="0"/>
        <v>555003.53272354754</v>
      </c>
      <c r="J27" s="33">
        <f t="shared" si="1"/>
        <v>277501.76636177377</v>
      </c>
      <c r="K27" s="33">
        <f t="shared" si="2"/>
        <v>2220014.1308941902</v>
      </c>
      <c r="L27" s="33">
        <f>D27*'A4'!$C$29</f>
        <v>1008.3822735204252</v>
      </c>
    </row>
    <row r="28" spans="1:12" x14ac:dyDescent="0.2">
      <c r="A28" s="1">
        <v>5</v>
      </c>
      <c r="B28" s="1">
        <v>8</v>
      </c>
      <c r="C28" s="1" t="s">
        <v>10</v>
      </c>
      <c r="D28" s="2">
        <v>19956.594928433198</v>
      </c>
      <c r="E28" s="3">
        <v>3.7796581303850756</v>
      </c>
      <c r="F28" s="40">
        <v>-3.78</v>
      </c>
      <c r="H28" s="33">
        <f>'B2'!G8</f>
        <v>210131.83469220015</v>
      </c>
      <c r="I28" s="33">
        <f t="shared" si="0"/>
        <v>84052.733876880069</v>
      </c>
      <c r="J28" s="33">
        <f t="shared" si="1"/>
        <v>42026.366938440035</v>
      </c>
      <c r="K28" s="33">
        <f t="shared" si="2"/>
        <v>336210.93550752022</v>
      </c>
      <c r="L28" s="33">
        <f>D28*'B2'!$C$29</f>
        <v>3779.6581303850753</v>
      </c>
    </row>
    <row r="29" spans="1:12" hidden="1" x14ac:dyDescent="0.2">
      <c r="A29" s="1">
        <v>6</v>
      </c>
      <c r="B29" s="1">
        <v>19</v>
      </c>
      <c r="C29" s="37" t="s">
        <v>11</v>
      </c>
      <c r="D29" s="44">
        <v>10531.982430178499</v>
      </c>
      <c r="E29" s="38">
        <v>1.9946936420792611</v>
      </c>
      <c r="F29" s="40"/>
      <c r="G29" s="43" t="s">
        <v>199</v>
      </c>
      <c r="H29" s="33"/>
      <c r="I29" s="33"/>
      <c r="J29" s="33"/>
      <c r="K29" s="33"/>
      <c r="L29" s="33"/>
    </row>
    <row r="30" spans="1:12" x14ac:dyDescent="0.2">
      <c r="A30" s="1">
        <v>7</v>
      </c>
      <c r="B30" s="1">
        <v>6</v>
      </c>
      <c r="C30" s="1" t="s">
        <v>12</v>
      </c>
      <c r="D30" s="2">
        <v>1787.9620022853701</v>
      </c>
      <c r="E30" s="3">
        <v>0.33862916709950192</v>
      </c>
      <c r="F30" s="40"/>
      <c r="H30" s="33">
        <f>'Br-A'!E8</f>
        <v>314180.68304158526</v>
      </c>
      <c r="I30" s="33">
        <f t="shared" si="0"/>
        <v>125672.27321663412</v>
      </c>
      <c r="J30" s="33">
        <f t="shared" si="1"/>
        <v>62836.136608317058</v>
      </c>
      <c r="K30" s="33">
        <f t="shared" si="2"/>
        <v>502689.09286653646</v>
      </c>
      <c r="L30" s="33">
        <f>D30*'Br-A'!$C$23</f>
        <v>1777.8031272723849</v>
      </c>
    </row>
    <row r="31" spans="1:12" x14ac:dyDescent="0.2">
      <c r="A31" s="1">
        <v>8</v>
      </c>
      <c r="B31" s="1">
        <v>5</v>
      </c>
      <c r="C31" s="1" t="s">
        <v>14</v>
      </c>
      <c r="D31" s="2">
        <v>32766.9366249942</v>
      </c>
      <c r="E31" s="3">
        <v>6.2058592092792049</v>
      </c>
      <c r="F31" s="40"/>
      <c r="H31" s="33">
        <f>'C1'!C8</f>
        <v>65533.873249988399</v>
      </c>
      <c r="I31" s="33">
        <f t="shared" si="0"/>
        <v>26213.54929999536</v>
      </c>
      <c r="J31" s="33">
        <f t="shared" si="1"/>
        <v>13106.77464999768</v>
      </c>
      <c r="K31" s="33">
        <f t="shared" si="2"/>
        <v>104854.19719998144</v>
      </c>
      <c r="L31" s="33">
        <f>D31*'C1'!$C$21</f>
        <v>620.58592092792048</v>
      </c>
    </row>
    <row r="32" spans="1:12" x14ac:dyDescent="0.2">
      <c r="A32" s="1">
        <v>9</v>
      </c>
      <c r="B32" s="1">
        <v>3</v>
      </c>
      <c r="C32" s="1" t="s">
        <v>15</v>
      </c>
      <c r="D32" s="2">
        <v>4055.8664481068299</v>
      </c>
      <c r="E32" s="7">
        <v>0.76815652426265724</v>
      </c>
      <c r="F32" s="40">
        <v>-0.77</v>
      </c>
      <c r="H32" s="33">
        <f>'D1'!H8</f>
        <v>228675.37418111949</v>
      </c>
      <c r="I32" s="33">
        <f t="shared" si="0"/>
        <v>91470.149672447806</v>
      </c>
      <c r="J32" s="33">
        <f t="shared" si="1"/>
        <v>45735.074836223903</v>
      </c>
      <c r="K32" s="33">
        <f t="shared" si="2"/>
        <v>365880.59868979122</v>
      </c>
      <c r="L32" s="33">
        <f>D32*'D1'!$C$25</f>
        <v>4032.8217523789499</v>
      </c>
    </row>
    <row r="33" spans="1:12" x14ac:dyDescent="0.2">
      <c r="D33" s="2"/>
      <c r="E33" s="5">
        <f>SUM(E24:E30,E32)</f>
        <v>15.653011385336592</v>
      </c>
      <c r="F33" s="41">
        <f>SUM(F23:F32)</f>
        <v>-4.55</v>
      </c>
      <c r="G33" s="1" t="s">
        <v>19</v>
      </c>
      <c r="H33" s="34">
        <f>SUM(H24:H30,H32)</f>
        <v>2486254.9961397285</v>
      </c>
      <c r="I33" s="34">
        <f>0.4*H33</f>
        <v>994501.99845589139</v>
      </c>
      <c r="J33" s="34">
        <f>0.2*H33</f>
        <v>497250.99922794569</v>
      </c>
      <c r="K33" s="34">
        <f>SUM(H33:J33)</f>
        <v>3978007.9938235655</v>
      </c>
      <c r="L33" s="34">
        <f>SUM(L24:L30,L32)</f>
        <v>13976.219970791459</v>
      </c>
    </row>
    <row r="34" spans="1:12" x14ac:dyDescent="0.2">
      <c r="D34" s="42" t="s">
        <v>20</v>
      </c>
      <c r="E34" s="6">
        <f>E31</f>
        <v>6.2058592092792049</v>
      </c>
      <c r="F34" s="52">
        <f>(E33+F33+E34)</f>
        <v>17.308870594615797</v>
      </c>
      <c r="G34" s="1" t="s">
        <v>197</v>
      </c>
      <c r="H34" s="34">
        <f>SUM(H24:H27,H30,H31)</f>
        <v>2112981.6605163976</v>
      </c>
      <c r="I34" s="34">
        <f>0.4*H34</f>
        <v>845192.66420655907</v>
      </c>
      <c r="J34" s="34">
        <f>0.2*H34</f>
        <v>422596.33210327954</v>
      </c>
      <c r="K34" s="34">
        <f t="shared" si="2"/>
        <v>3380770.6568262363</v>
      </c>
      <c r="L34" s="34">
        <f>SUM(L24:L27,L30,L31)</f>
        <v>6784.3260089553532</v>
      </c>
    </row>
    <row r="35" spans="1:12" ht="28.5" x14ac:dyDescent="0.2">
      <c r="A35" s="1">
        <v>0</v>
      </c>
      <c r="B35" s="1">
        <v>0</v>
      </c>
      <c r="C35" s="8" t="s">
        <v>22</v>
      </c>
      <c r="D35" s="2">
        <v>0</v>
      </c>
      <c r="E35" s="3">
        <v>0</v>
      </c>
      <c r="F35" s="40"/>
      <c r="H35" s="33"/>
      <c r="I35" s="33"/>
      <c r="J35" s="33"/>
      <c r="K35" s="33"/>
      <c r="L35" s="33"/>
    </row>
    <row r="36" spans="1:12" x14ac:dyDescent="0.2">
      <c r="A36" s="1">
        <v>1</v>
      </c>
      <c r="B36" s="1">
        <v>17</v>
      </c>
      <c r="C36" s="1" t="s">
        <v>10</v>
      </c>
      <c r="D36" s="2">
        <v>38252.109523581297</v>
      </c>
      <c r="E36" s="3">
        <v>7.2447177127994884</v>
      </c>
      <c r="F36" s="40"/>
      <c r="H36" s="33">
        <f>'B2'!G9</f>
        <v>402773.41820397339</v>
      </c>
      <c r="I36" s="33">
        <f t="shared" si="0"/>
        <v>161109.36728158937</v>
      </c>
      <c r="J36" s="33">
        <f t="shared" si="1"/>
        <v>80554.683640794683</v>
      </c>
      <c r="K36" s="33">
        <f t="shared" si="2"/>
        <v>644437.46912635746</v>
      </c>
      <c r="L36" s="33">
        <f>D36*'B2'!$C$29</f>
        <v>7244.7177127994883</v>
      </c>
    </row>
    <row r="37" spans="1:12" x14ac:dyDescent="0.2">
      <c r="A37" s="1">
        <v>2</v>
      </c>
      <c r="B37" s="1">
        <v>9</v>
      </c>
      <c r="C37" s="1" t="s">
        <v>12</v>
      </c>
      <c r="D37" s="2">
        <v>2491.19657953456</v>
      </c>
      <c r="E37" s="3">
        <v>0.47181753400275755</v>
      </c>
      <c r="F37" s="40"/>
      <c r="H37" s="33">
        <f>'Br-A'!E9</f>
        <v>437753.0629558129</v>
      </c>
      <c r="I37" s="33">
        <f t="shared" si="0"/>
        <v>175101.22518232517</v>
      </c>
      <c r="J37" s="33">
        <f t="shared" si="1"/>
        <v>87550.612591162586</v>
      </c>
      <c r="K37" s="33">
        <f t="shared" si="2"/>
        <v>700404.90072930069</v>
      </c>
      <c r="L37" s="33">
        <f>D37*'Br-A'!$C$23</f>
        <v>2477.0420535144772</v>
      </c>
    </row>
    <row r="38" spans="1:12" x14ac:dyDescent="0.2">
      <c r="A38" s="1">
        <v>3</v>
      </c>
      <c r="B38" s="1">
        <v>9</v>
      </c>
      <c r="C38" s="1" t="s">
        <v>14</v>
      </c>
      <c r="D38" s="2">
        <v>49420.138426739803</v>
      </c>
      <c r="E38" s="7">
        <v>9.3598747020340536</v>
      </c>
      <c r="F38" s="40"/>
      <c r="H38" s="33">
        <f>'C1'!C9</f>
        <v>98840.276853479605</v>
      </c>
      <c r="I38" s="33">
        <f t="shared" si="0"/>
        <v>39536.110741391843</v>
      </c>
      <c r="J38" s="33">
        <f t="shared" si="1"/>
        <v>19768.055370695922</v>
      </c>
      <c r="K38" s="33">
        <f t="shared" si="2"/>
        <v>158144.44296556737</v>
      </c>
      <c r="L38" s="33">
        <f>D38*'C1'!$C$21</f>
        <v>935.98747020340534</v>
      </c>
    </row>
    <row r="39" spans="1:12" x14ac:dyDescent="0.2">
      <c r="D39" s="2"/>
      <c r="E39" s="5">
        <f>E36+E37</f>
        <v>7.7165352468022457</v>
      </c>
      <c r="F39" s="41"/>
      <c r="G39" s="1" t="s">
        <v>19</v>
      </c>
      <c r="H39" s="34">
        <f>H36+H37</f>
        <v>840526.48115978623</v>
      </c>
      <c r="I39" s="34">
        <f t="shared" si="0"/>
        <v>336210.59246391454</v>
      </c>
      <c r="J39" s="34">
        <f t="shared" si="1"/>
        <v>168105.29623195727</v>
      </c>
      <c r="K39" s="34">
        <f>SUM(H39:J39)</f>
        <v>1344842.3698556582</v>
      </c>
      <c r="L39" s="34">
        <f>SUM(L36:L37)</f>
        <v>9721.7597663139659</v>
      </c>
    </row>
    <row r="40" spans="1:12" x14ac:dyDescent="0.2">
      <c r="D40" s="42" t="s">
        <v>20</v>
      </c>
      <c r="E40" s="6">
        <f>E38</f>
        <v>9.3598747020340536</v>
      </c>
      <c r="F40" s="52">
        <v>9.36</v>
      </c>
      <c r="G40" s="1" t="s">
        <v>198</v>
      </c>
      <c r="H40" s="34">
        <f>H38</f>
        <v>98840.276853479605</v>
      </c>
      <c r="I40" s="34">
        <f t="shared" si="0"/>
        <v>39536.110741391843</v>
      </c>
      <c r="J40" s="34">
        <f t="shared" si="1"/>
        <v>19768.055370695922</v>
      </c>
      <c r="K40" s="34">
        <f t="shared" si="2"/>
        <v>158144.44296556737</v>
      </c>
      <c r="L40" s="34">
        <f>SUM(L38)</f>
        <v>935.98747020340534</v>
      </c>
    </row>
    <row r="41" spans="1:12" ht="28.5" x14ac:dyDescent="0.2">
      <c r="A41" s="1">
        <v>0</v>
      </c>
      <c r="B41" s="1">
        <v>0</v>
      </c>
      <c r="C41" s="8" t="s">
        <v>23</v>
      </c>
      <c r="D41" s="2">
        <v>0</v>
      </c>
      <c r="E41" s="3">
        <v>0</v>
      </c>
      <c r="F41" s="40"/>
      <c r="H41" s="33"/>
      <c r="I41" s="33"/>
      <c r="J41" s="33"/>
      <c r="K41" s="33"/>
      <c r="L41" s="33"/>
    </row>
    <row r="42" spans="1:12" x14ac:dyDescent="0.2">
      <c r="A42" s="1">
        <v>1</v>
      </c>
      <c r="B42" s="1">
        <v>2</v>
      </c>
      <c r="C42" s="1" t="s">
        <v>9</v>
      </c>
      <c r="D42" s="2">
        <v>955.256354723409</v>
      </c>
      <c r="E42" s="3">
        <v>0.18091976415216079</v>
      </c>
      <c r="F42" s="40"/>
      <c r="H42" s="33">
        <f>'B1'!G10</f>
        <v>10058.317620779229</v>
      </c>
      <c r="I42" s="33">
        <f t="shared" si="0"/>
        <v>4023.3270483116921</v>
      </c>
      <c r="J42" s="33">
        <f t="shared" si="1"/>
        <v>2011.6635241558461</v>
      </c>
      <c r="K42" s="33">
        <f t="shared" si="2"/>
        <v>16093.308193246768</v>
      </c>
      <c r="L42" s="33">
        <f>D42*'B1'!$C$29</f>
        <v>180.91976415216078</v>
      </c>
    </row>
    <row r="43" spans="1:12" x14ac:dyDescent="0.2">
      <c r="A43" s="1">
        <v>2</v>
      </c>
      <c r="B43" s="1">
        <v>14</v>
      </c>
      <c r="C43" s="1" t="s">
        <v>10</v>
      </c>
      <c r="D43" s="2">
        <v>44502.625257057502</v>
      </c>
      <c r="E43" s="3">
        <v>8.4285275108063455</v>
      </c>
      <c r="F43" s="40"/>
      <c r="H43" s="33">
        <f>'B2'!G10</f>
        <v>468587.86919413216</v>
      </c>
      <c r="I43" s="33">
        <f t="shared" si="0"/>
        <v>187435.14767765289</v>
      </c>
      <c r="J43" s="33">
        <f t="shared" si="1"/>
        <v>93717.573838826444</v>
      </c>
      <c r="K43" s="33">
        <f t="shared" si="2"/>
        <v>749740.59071061155</v>
      </c>
      <c r="L43" s="33">
        <f>D43*'B2'!$C$29</f>
        <v>8428.5275108063452</v>
      </c>
    </row>
    <row r="44" spans="1:12" x14ac:dyDescent="0.2">
      <c r="A44" s="1">
        <v>3</v>
      </c>
      <c r="B44" s="1">
        <v>1</v>
      </c>
      <c r="C44" s="1" t="s">
        <v>16</v>
      </c>
      <c r="D44" s="50">
        <f>467.346828396853+D45</f>
        <v>7640.5536897664033</v>
      </c>
      <c r="E44" s="51">
        <f>0.0885126568933434+E45</f>
        <v>1.4470745624557582</v>
      </c>
      <c r="F44" s="40">
        <v>-0.25</v>
      </c>
      <c r="H44" s="33">
        <f>'B3'!J10</f>
        <v>1952386.4308238102</v>
      </c>
      <c r="I44" s="33">
        <f t="shared" si="0"/>
        <v>780954.57232952409</v>
      </c>
      <c r="J44" s="33">
        <f t="shared" si="1"/>
        <v>390477.28616476204</v>
      </c>
      <c r="K44" s="33">
        <f t="shared" si="2"/>
        <v>3123818.2893180964</v>
      </c>
      <c r="L44" s="33">
        <f>D44*'B3'!$C$34</f>
        <v>1447.0745624557583</v>
      </c>
    </row>
    <row r="45" spans="1:12" hidden="1" x14ac:dyDescent="0.2">
      <c r="A45" s="1">
        <v>4</v>
      </c>
      <c r="B45" s="1">
        <v>5</v>
      </c>
      <c r="C45" s="37" t="s">
        <v>11</v>
      </c>
      <c r="D45" s="44">
        <v>7173.2068613695501</v>
      </c>
      <c r="E45" s="38">
        <v>1.3585619055624147</v>
      </c>
      <c r="F45" s="40"/>
      <c r="G45" s="37" t="s">
        <v>200</v>
      </c>
      <c r="H45" s="33">
        <f>'B4'!E10</f>
        <v>23051.233086175143</v>
      </c>
      <c r="I45" s="33">
        <f t="shared" si="0"/>
        <v>9220.4932344700574</v>
      </c>
      <c r="J45" s="33">
        <f t="shared" si="1"/>
        <v>4610.2466172350287</v>
      </c>
      <c r="K45" s="33">
        <f t="shared" si="2"/>
        <v>36881.972937880229</v>
      </c>
      <c r="L45" s="33">
        <f>D45*'B3'!$C$34</f>
        <v>1358.5619055624147</v>
      </c>
    </row>
    <row r="46" spans="1:12" x14ac:dyDescent="0.2">
      <c r="A46" s="1">
        <v>5</v>
      </c>
      <c r="B46" s="1">
        <v>9</v>
      </c>
      <c r="C46" s="1" t="s">
        <v>12</v>
      </c>
      <c r="D46" s="2">
        <v>2476.6597096915002</v>
      </c>
      <c r="E46" s="3">
        <v>0.4690643389567235</v>
      </c>
      <c r="F46" s="40"/>
      <c r="H46" s="33">
        <f>'Br-A'!E10</f>
        <v>435198.64418699039</v>
      </c>
      <c r="I46" s="33">
        <f t="shared" si="0"/>
        <v>174079.45767479617</v>
      </c>
      <c r="J46" s="33">
        <f t="shared" si="1"/>
        <v>87039.728837398085</v>
      </c>
      <c r="K46" s="33">
        <f t="shared" si="2"/>
        <v>696317.83069918468</v>
      </c>
      <c r="L46" s="33">
        <f>D46*'Br-A'!$C$23</f>
        <v>2462.5877795227984</v>
      </c>
    </row>
    <row r="47" spans="1:12" x14ac:dyDescent="0.2">
      <c r="A47" s="1">
        <v>6</v>
      </c>
      <c r="B47" s="1">
        <v>2</v>
      </c>
      <c r="C47" s="1" t="s">
        <v>13</v>
      </c>
      <c r="D47" s="2">
        <v>486.93641536205001</v>
      </c>
      <c r="E47" s="3">
        <v>9.2222805939782201E-2</v>
      </c>
      <c r="F47" s="40"/>
      <c r="H47" s="33">
        <f>'Br-B'!E10</f>
        <v>85564.466907419424</v>
      </c>
      <c r="I47" s="33">
        <f t="shared" si="0"/>
        <v>34225.786762967771</v>
      </c>
      <c r="J47" s="33">
        <f t="shared" si="1"/>
        <v>17112.893381483886</v>
      </c>
      <c r="K47" s="33">
        <f t="shared" si="2"/>
        <v>136903.14705187108</v>
      </c>
      <c r="L47" s="33">
        <f>D47*'Br-B'!$C$23</f>
        <v>484.16973118385653</v>
      </c>
    </row>
    <row r="48" spans="1:12" x14ac:dyDescent="0.2">
      <c r="A48" s="1">
        <v>7</v>
      </c>
      <c r="B48" s="1">
        <v>5</v>
      </c>
      <c r="C48" s="1" t="s">
        <v>14</v>
      </c>
      <c r="D48" s="2">
        <v>60635.423229205197</v>
      </c>
      <c r="E48" s="3">
        <v>11.483981672197954</v>
      </c>
      <c r="F48" s="40"/>
      <c r="H48" s="33">
        <f>'C1'!C10</f>
        <v>121270.84645841039</v>
      </c>
      <c r="I48" s="33">
        <f t="shared" si="0"/>
        <v>48508.338583364159</v>
      </c>
      <c r="J48" s="33">
        <f t="shared" si="1"/>
        <v>24254.169291682079</v>
      </c>
      <c r="K48" s="33">
        <f t="shared" si="2"/>
        <v>194033.35433345663</v>
      </c>
      <c r="L48" s="33">
        <f>D48*'C1'!$C$21</f>
        <v>1148.3981672197954</v>
      </c>
    </row>
    <row r="49" spans="1:13" x14ac:dyDescent="0.2">
      <c r="A49" s="1">
        <v>8</v>
      </c>
      <c r="B49" s="1">
        <v>1</v>
      </c>
      <c r="C49" s="1" t="s">
        <v>15</v>
      </c>
      <c r="D49" s="2">
        <v>2015.88569556366</v>
      </c>
      <c r="E49" s="7">
        <v>0.38179653325069318</v>
      </c>
      <c r="F49" s="40">
        <v>-0.38</v>
      </c>
      <c r="H49" s="33">
        <f>'D1'!H10</f>
        <v>113658.43072928622</v>
      </c>
      <c r="I49" s="33">
        <f t="shared" si="0"/>
        <v>45463.372291714491</v>
      </c>
      <c r="J49" s="33">
        <f t="shared" si="1"/>
        <v>22731.686145857246</v>
      </c>
      <c r="K49" s="33">
        <f t="shared" si="2"/>
        <v>181853.48916685794</v>
      </c>
      <c r="L49" s="33">
        <f>D49*'D1'!C$25</f>
        <v>2004.431799566139</v>
      </c>
    </row>
    <row r="50" spans="1:13" x14ac:dyDescent="0.2">
      <c r="D50" s="2"/>
      <c r="E50" s="5">
        <f>SUM(E42:E47)+E49</f>
        <v>12.358167421123879</v>
      </c>
      <c r="F50" s="41">
        <f>SUM(F42:F49)</f>
        <v>-0.63</v>
      </c>
      <c r="G50" s="1" t="s">
        <v>19</v>
      </c>
      <c r="H50" s="34">
        <f>SUM(H42:H47,H49)</f>
        <v>3088505.3925485928</v>
      </c>
      <c r="I50" s="34">
        <f t="shared" si="0"/>
        <v>1235402.1570194371</v>
      </c>
      <c r="J50" s="34">
        <f t="shared" si="1"/>
        <v>617701.07850971853</v>
      </c>
      <c r="K50" s="34">
        <f t="shared" si="2"/>
        <v>4941608.6280777482</v>
      </c>
      <c r="L50" s="34">
        <f>SUM(L42:L47,L49)</f>
        <v>16366.273053249473</v>
      </c>
    </row>
    <row r="51" spans="1:13" x14ac:dyDescent="0.2">
      <c r="D51" s="1" t="s">
        <v>20</v>
      </c>
      <c r="E51" s="6">
        <f>E48</f>
        <v>11.483981672197954</v>
      </c>
      <c r="F51" s="52">
        <f>(E51-F50)</f>
        <v>12.113981672197955</v>
      </c>
      <c r="G51" s="1" t="s">
        <v>198</v>
      </c>
      <c r="H51" s="34">
        <f>H48</f>
        <v>121270.84645841039</v>
      </c>
      <c r="I51" s="34">
        <f t="shared" si="0"/>
        <v>48508.338583364159</v>
      </c>
      <c r="J51" s="34">
        <f t="shared" si="1"/>
        <v>24254.169291682079</v>
      </c>
      <c r="K51" s="34">
        <f t="shared" si="2"/>
        <v>194033.35433345663</v>
      </c>
      <c r="L51" s="34">
        <f>L48</f>
        <v>1148.3981672197954</v>
      </c>
    </row>
    <row r="52" spans="1:13" ht="28.5" x14ac:dyDescent="0.2">
      <c r="A52" s="1">
        <v>0</v>
      </c>
      <c r="B52" s="1">
        <v>0</v>
      </c>
      <c r="C52" s="8" t="s">
        <v>24</v>
      </c>
      <c r="D52" s="2">
        <v>0</v>
      </c>
      <c r="E52" s="3">
        <v>0</v>
      </c>
      <c r="F52" s="40"/>
      <c r="H52" s="33"/>
      <c r="I52" s="33"/>
      <c r="J52" s="33"/>
      <c r="K52" s="33"/>
      <c r="L52" s="33"/>
    </row>
    <row r="53" spans="1:13" x14ac:dyDescent="0.2">
      <c r="A53" s="1">
        <v>1</v>
      </c>
      <c r="B53" s="1">
        <v>6</v>
      </c>
      <c r="C53" s="1" t="s">
        <v>9</v>
      </c>
      <c r="D53" s="2">
        <v>14476.8048759175</v>
      </c>
      <c r="E53" s="3">
        <v>2.7418191052874055</v>
      </c>
      <c r="F53" s="40"/>
      <c r="H53" s="33">
        <f>'B1'!G11</f>
        <v>152432.69605695026</v>
      </c>
      <c r="I53" s="33">
        <f t="shared" si="0"/>
        <v>60973.078422780105</v>
      </c>
      <c r="J53" s="33">
        <f t="shared" si="1"/>
        <v>30486.539211390053</v>
      </c>
      <c r="K53" s="33">
        <f t="shared" si="2"/>
        <v>243892.31369112039</v>
      </c>
      <c r="L53" s="33">
        <f>D53*'B1'!$C$29</f>
        <v>2741.8191052874054</v>
      </c>
    </row>
    <row r="54" spans="1:13" x14ac:dyDescent="0.2">
      <c r="A54" s="1">
        <v>2</v>
      </c>
      <c r="B54" s="1">
        <v>3</v>
      </c>
      <c r="C54" s="1" t="s">
        <v>10</v>
      </c>
      <c r="D54" s="2">
        <v>4997.8889602338604</v>
      </c>
      <c r="E54" s="3">
        <v>0.94656987883217059</v>
      </c>
      <c r="F54" s="40"/>
      <c r="H54" s="33">
        <f>'B2'!G11</f>
        <v>52624.988409497499</v>
      </c>
      <c r="I54" s="33">
        <f t="shared" si="0"/>
        <v>21049.995363799</v>
      </c>
      <c r="J54" s="33">
        <f t="shared" si="1"/>
        <v>10524.9976818995</v>
      </c>
      <c r="K54" s="33">
        <f t="shared" si="2"/>
        <v>84199.981455196001</v>
      </c>
      <c r="L54" s="33">
        <f>D54*'B2'!$C$29</f>
        <v>946.5698788321705</v>
      </c>
    </row>
    <row r="55" spans="1:13" x14ac:dyDescent="0.2">
      <c r="A55" s="1">
        <v>3</v>
      </c>
      <c r="B55" s="1">
        <v>5</v>
      </c>
      <c r="C55" s="1" t="s">
        <v>12</v>
      </c>
      <c r="D55" s="2">
        <v>1340.18494717867</v>
      </c>
      <c r="E55" s="3">
        <v>0.25382290666262691</v>
      </c>
      <c r="F55" s="40"/>
      <c r="H55" s="33">
        <f>'Br-A'!E11*(D55/(D55+D58))</f>
        <v>235497.29891823587</v>
      </c>
      <c r="I55" s="33">
        <f t="shared" si="0"/>
        <v>94198.919567294361</v>
      </c>
      <c r="J55" s="33">
        <f t="shared" si="1"/>
        <v>47099.45978364718</v>
      </c>
      <c r="K55" s="33">
        <f t="shared" si="2"/>
        <v>376795.67826917744</v>
      </c>
      <c r="L55" s="33">
        <f>D55*'Br-A'!$C$23</f>
        <v>1332.570259978791</v>
      </c>
    </row>
    <row r="56" spans="1:13" x14ac:dyDescent="0.2">
      <c r="A56" s="1">
        <v>4</v>
      </c>
      <c r="B56" s="1">
        <v>1</v>
      </c>
      <c r="C56" s="1" t="s">
        <v>13</v>
      </c>
      <c r="D56" s="2">
        <v>251.36142708968001</v>
      </c>
      <c r="E56" s="3">
        <v>4.760633088819697E-2</v>
      </c>
      <c r="F56" s="40"/>
      <c r="H56" s="33">
        <f>'Br-B'!E11</f>
        <v>44169.229968198568</v>
      </c>
      <c r="I56" s="33">
        <f t="shared" si="0"/>
        <v>17667.691987279428</v>
      </c>
      <c r="J56" s="33">
        <f t="shared" si="1"/>
        <v>8833.8459936397139</v>
      </c>
      <c r="K56" s="33">
        <f t="shared" si="2"/>
        <v>70670.767949117711</v>
      </c>
      <c r="L56" s="33">
        <f>D56*'Br-B'!$C$23</f>
        <v>249.93323716303408</v>
      </c>
    </row>
    <row r="57" spans="1:13" x14ac:dyDescent="0.2">
      <c r="A57" s="1">
        <v>5</v>
      </c>
      <c r="B57" s="1">
        <v>2</v>
      </c>
      <c r="C57" s="1" t="s">
        <v>15</v>
      </c>
      <c r="D57" s="2">
        <v>5924.3248984498496</v>
      </c>
      <c r="E57" s="3">
        <v>1.1220312307670171</v>
      </c>
      <c r="F57" s="40"/>
      <c r="H57" s="33">
        <f>'D1'!H11*(D57/(D57+D59))</f>
        <v>334021.65240324958</v>
      </c>
      <c r="I57" s="33">
        <f t="shared" si="0"/>
        <v>133608.66096129984</v>
      </c>
      <c r="J57" s="33">
        <f t="shared" si="1"/>
        <v>66804.330480649922</v>
      </c>
      <c r="K57" s="33">
        <f t="shared" si="2"/>
        <v>534434.64384519937</v>
      </c>
      <c r="L57" s="33">
        <f>D57*'D1'!C$25</f>
        <v>5890.6639615268386</v>
      </c>
    </row>
    <row r="58" spans="1:13" x14ac:dyDescent="0.2">
      <c r="A58" s="1">
        <v>9</v>
      </c>
      <c r="B58" s="1">
        <v>5</v>
      </c>
      <c r="C58" s="1" t="s">
        <v>12</v>
      </c>
      <c r="D58" s="2">
        <v>1149.4776289981201</v>
      </c>
      <c r="E58" s="3">
        <v>0.21770409640115909</v>
      </c>
      <c r="F58" s="40"/>
      <c r="H58" s="33">
        <f>'Br-A'!E11*(D58/(D55+D58))</f>
        <v>201986.20896754964</v>
      </c>
      <c r="I58" s="33">
        <f t="shared" si="0"/>
        <v>80794.483587019859</v>
      </c>
      <c r="J58" s="33">
        <f t="shared" si="1"/>
        <v>40397.241793509929</v>
      </c>
      <c r="K58" s="33">
        <f t="shared" si="2"/>
        <v>323177.93434807943</v>
      </c>
      <c r="L58" s="33">
        <f>D58*'Br-A'!$C$23</f>
        <v>1142.9465061060853</v>
      </c>
    </row>
    <row r="59" spans="1:13" x14ac:dyDescent="0.2">
      <c r="A59" s="1">
        <v>10</v>
      </c>
      <c r="B59" s="1">
        <v>1</v>
      </c>
      <c r="C59" s="1" t="s">
        <v>15</v>
      </c>
      <c r="D59" s="2">
        <v>2243.12269845113</v>
      </c>
      <c r="E59" s="7">
        <v>0.4248338444036231</v>
      </c>
      <c r="F59" s="40"/>
      <c r="H59" s="33">
        <f>'D1'!H11*(D59/(D57+D59))</f>
        <v>126470.36803736584</v>
      </c>
      <c r="I59" s="33">
        <f t="shared" si="0"/>
        <v>50588.147214946337</v>
      </c>
      <c r="J59" s="33">
        <f t="shared" si="1"/>
        <v>25294.073607473169</v>
      </c>
      <c r="K59" s="33">
        <f t="shared" si="2"/>
        <v>202352.58885978535</v>
      </c>
      <c r="L59" s="33">
        <f>D59*'D1'!C$25</f>
        <v>2230.3776831190212</v>
      </c>
    </row>
    <row r="60" spans="1:13" s="9" customFormat="1" x14ac:dyDescent="0.2">
      <c r="C60" s="10"/>
      <c r="E60" s="11">
        <f>SUM(E53:E59)</f>
        <v>5.7543873932421992</v>
      </c>
      <c r="F60" s="41"/>
      <c r="G60" s="9" t="s">
        <v>19</v>
      </c>
      <c r="H60" s="35">
        <f>SUM(H53:H59)</f>
        <v>1147202.4427610473</v>
      </c>
      <c r="I60" s="34">
        <f t="shared" si="0"/>
        <v>458880.97710441891</v>
      </c>
      <c r="J60" s="34">
        <f t="shared" si="1"/>
        <v>229440.48855220946</v>
      </c>
      <c r="K60" s="34">
        <f t="shared" si="2"/>
        <v>1835523.9084176756</v>
      </c>
      <c r="L60" s="47">
        <f>SUM(L53:L59)</f>
        <v>14534.880632013346</v>
      </c>
    </row>
    <row r="61" spans="1:13" x14ac:dyDescent="0.2">
      <c r="I61" s="33"/>
      <c r="J61" s="33"/>
      <c r="K61" s="33"/>
      <c r="L61" s="33"/>
    </row>
    <row r="62" spans="1:13" x14ac:dyDescent="0.2">
      <c r="E62" s="5">
        <f>E60+E50+E39+E33+E22+E11</f>
        <v>69.812628919545986</v>
      </c>
      <c r="F62" s="41"/>
      <c r="G62" s="12" t="s">
        <v>25</v>
      </c>
      <c r="H62" s="36">
        <f>SUM(H60,H50,H39,H33,H22,H11)</f>
        <v>12330357.098701626</v>
      </c>
      <c r="I62" s="34">
        <f t="shared" si="0"/>
        <v>4932142.8394806506</v>
      </c>
      <c r="J62" s="34">
        <f t="shared" si="1"/>
        <v>2466071.4197403253</v>
      </c>
      <c r="K62" s="34">
        <f t="shared" si="2"/>
        <v>19728571.357922602</v>
      </c>
      <c r="L62" s="36">
        <f>SUM(L60,L50,L39,L33,L22,L11)</f>
        <v>71364.721547877067</v>
      </c>
      <c r="M62" s="1" t="s">
        <v>26</v>
      </c>
    </row>
    <row r="63" spans="1:13" x14ac:dyDescent="0.2">
      <c r="E63" s="5">
        <f>E60+E50+E39+E33+E22+E11+E51+E40+E34</f>
        <v>96.862344503057201</v>
      </c>
      <c r="F63" s="41"/>
      <c r="G63" s="13" t="s">
        <v>195</v>
      </c>
      <c r="H63" s="36">
        <f>SUM(H60,H51,H40,H34,H22,H11)</f>
        <v>8248163.0126818083</v>
      </c>
      <c r="I63" s="34">
        <f>0.4*H63</f>
        <v>3299265.2050727233</v>
      </c>
      <c r="J63" s="34">
        <f>0.2*H63</f>
        <v>1649632.6025363617</v>
      </c>
      <c r="K63" s="34">
        <f>SUM(H63:J63)</f>
        <v>13197060.820290893</v>
      </c>
      <c r="L63" s="36">
        <f>SUM(L60,L51,L40,L34,L22,L11)</f>
        <v>40169.180403900711</v>
      </c>
      <c r="M63" s="1" t="s">
        <v>182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P29" sqref="P29"/>
    </sheetView>
  </sheetViews>
  <sheetFormatPr defaultRowHeight="15" x14ac:dyDescent="0.25"/>
  <cols>
    <col min="1" max="1" width="16.42578125" customWidth="1"/>
  </cols>
  <sheetData>
    <row r="1" spans="1:3" x14ac:dyDescent="0.25">
      <c r="A1" s="80" t="s">
        <v>89</v>
      </c>
      <c r="B1" s="80"/>
      <c r="C1" s="80"/>
    </row>
    <row r="2" spans="1:3" x14ac:dyDescent="0.25">
      <c r="A2" s="80"/>
      <c r="B2" s="80"/>
      <c r="C2" s="80"/>
    </row>
    <row r="4" spans="1:3" x14ac:dyDescent="0.25">
      <c r="A4" s="21" t="s">
        <v>90</v>
      </c>
      <c r="B4" s="21" t="s">
        <v>27</v>
      </c>
    </row>
    <row r="5" spans="1:3" x14ac:dyDescent="0.25">
      <c r="A5" t="s">
        <v>91</v>
      </c>
      <c r="B5" t="s">
        <v>92</v>
      </c>
    </row>
    <row r="6" spans="1:3" x14ac:dyDescent="0.25">
      <c r="A6" s="26" t="s">
        <v>93</v>
      </c>
      <c r="B6" t="s">
        <v>94</v>
      </c>
    </row>
    <row r="7" spans="1:3" x14ac:dyDescent="0.25">
      <c r="A7" t="s">
        <v>95</v>
      </c>
      <c r="B7" t="s">
        <v>94</v>
      </c>
    </row>
  </sheetData>
  <mergeCells count="1">
    <mergeCell ref="A1:C2"/>
  </mergeCells>
  <hyperlinks>
    <hyperlink ref="A6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M17" sqref="M17"/>
    </sheetView>
  </sheetViews>
  <sheetFormatPr defaultRowHeight="15" x14ac:dyDescent="0.25"/>
  <cols>
    <col min="1" max="1" width="22.42578125" customWidth="1"/>
    <col min="2" max="2" width="11" customWidth="1"/>
    <col min="3" max="3" width="20.85546875" customWidth="1"/>
    <col min="4" max="4" width="28.5703125" customWidth="1"/>
    <col min="5" max="5" width="14" customWidth="1"/>
    <col min="6" max="6" width="12.5703125" customWidth="1"/>
    <col min="10" max="10" width="15.5703125" customWidth="1"/>
    <col min="11" max="11" width="9.7109375" customWidth="1"/>
    <col min="12" max="12" width="11.85546875" customWidth="1"/>
    <col min="13" max="13" width="11.5703125" bestFit="1" customWidth="1"/>
  </cols>
  <sheetData>
    <row r="1" spans="1:13" ht="15" customHeight="1" x14ac:dyDescent="0.25">
      <c r="A1" s="77" t="s">
        <v>72</v>
      </c>
      <c r="B1" s="77"/>
      <c r="C1" s="77"/>
      <c r="D1" s="77"/>
      <c r="E1" s="77"/>
    </row>
    <row r="2" spans="1:13" ht="15" customHeight="1" x14ac:dyDescent="0.25">
      <c r="A2" s="77"/>
      <c r="B2" s="77"/>
      <c r="C2" s="77"/>
      <c r="D2" s="77"/>
      <c r="E2" s="77"/>
    </row>
    <row r="3" spans="1:13" x14ac:dyDescent="0.25">
      <c r="C3" s="28"/>
      <c r="D3" s="28"/>
      <c r="E3" s="28"/>
    </row>
    <row r="4" spans="1:13" x14ac:dyDescent="0.25">
      <c r="A4" s="21" t="s">
        <v>64</v>
      </c>
      <c r="B4" s="21" t="s">
        <v>71</v>
      </c>
      <c r="C4" s="21" t="s">
        <v>141</v>
      </c>
      <c r="D4" s="21" t="s">
        <v>158</v>
      </c>
      <c r="E4" s="21" t="s">
        <v>147</v>
      </c>
      <c r="F4" s="21" t="s">
        <v>149</v>
      </c>
      <c r="G4" s="21" t="s">
        <v>206</v>
      </c>
      <c r="J4" s="21" t="s">
        <v>83</v>
      </c>
      <c r="K4" s="21" t="s">
        <v>86</v>
      </c>
      <c r="L4" s="21" t="s">
        <v>117</v>
      </c>
      <c r="M4" s="21" t="s">
        <v>33</v>
      </c>
    </row>
    <row r="5" spans="1:13" x14ac:dyDescent="0.25">
      <c r="A5" t="s">
        <v>65</v>
      </c>
      <c r="B5" s="23">
        <f>ALL_SEGMENTS!D3</f>
        <v>31897.6020643267</v>
      </c>
      <c r="C5" s="29">
        <f>B5*3*$C$21/43560</f>
        <v>6046.3457121479851</v>
      </c>
      <c r="D5" s="29">
        <f>$C$22*B5</f>
        <v>159488.01032163351</v>
      </c>
      <c r="E5" s="29">
        <f>(3*B5*($K$5/12)*0.1/27)*20</f>
        <v>3544.1780071474118</v>
      </c>
      <c r="F5" s="29">
        <f>SUM(C5:E5)</f>
        <v>169078.53404092891</v>
      </c>
      <c r="J5" t="s">
        <v>84</v>
      </c>
      <c r="K5">
        <v>6</v>
      </c>
      <c r="L5" s="23">
        <f>3*B11*(K5/12)*0.1/27</f>
        <v>612.66842905397618</v>
      </c>
      <c r="M5" s="29">
        <f>20*L5</f>
        <v>12253.368581079523</v>
      </c>
    </row>
    <row r="6" spans="1:13" x14ac:dyDescent="0.25">
      <c r="A6" t="s">
        <v>66</v>
      </c>
      <c r="B6" s="23">
        <f>ALL_SEGMENTS!D13</f>
        <v>50958.7499170714</v>
      </c>
      <c r="C6" s="29">
        <f t="shared" ref="C6:C11" si="0">B6*3*$C$21/43560</f>
        <v>9659.4790553892944</v>
      </c>
      <c r="D6" s="29">
        <f t="shared" ref="D6:D11" si="1">$C$22*B6</f>
        <v>254793.749585357</v>
      </c>
      <c r="E6" s="29">
        <f t="shared" ref="E6:E11" si="2">(3*B6*($K$5/12)*0.1/27)*20</f>
        <v>5662.0833241190439</v>
      </c>
      <c r="F6" s="29">
        <f t="shared" ref="F6:F11" si="3">SUM(C6:E6)</f>
        <v>270115.31196486531</v>
      </c>
    </row>
    <row r="7" spans="1:13" x14ac:dyDescent="0.25">
      <c r="A7" t="s">
        <v>67</v>
      </c>
      <c r="B7" s="23">
        <f>ALL_SEGMENTS!D24</f>
        <v>27423.9652483176</v>
      </c>
      <c r="C7" s="29">
        <f t="shared" si="0"/>
        <v>5198.3460811526838</v>
      </c>
      <c r="D7" s="29">
        <f t="shared" si="1"/>
        <v>137119.82624158799</v>
      </c>
      <c r="E7" s="29">
        <f t="shared" si="2"/>
        <v>3047.1072498130666</v>
      </c>
      <c r="F7" s="29">
        <f t="shared" si="3"/>
        <v>145365.27957255373</v>
      </c>
    </row>
    <row r="8" spans="1:13" x14ac:dyDescent="0.25">
      <c r="A8" t="s">
        <v>68</v>
      </c>
      <c r="B8" s="23">
        <f>0</f>
        <v>0</v>
      </c>
      <c r="C8" s="29">
        <f t="shared" si="0"/>
        <v>0</v>
      </c>
      <c r="D8" s="29">
        <f t="shared" si="1"/>
        <v>0</v>
      </c>
      <c r="E8" s="29">
        <f t="shared" si="2"/>
        <v>0</v>
      </c>
      <c r="F8" s="29">
        <f t="shared" si="3"/>
        <v>0</v>
      </c>
    </row>
    <row r="9" spans="1:13" x14ac:dyDescent="0.25">
      <c r="A9" t="s">
        <v>69</v>
      </c>
      <c r="B9" s="23">
        <v>0</v>
      </c>
      <c r="C9" s="29">
        <f t="shared" si="0"/>
        <v>0</v>
      </c>
      <c r="D9" s="29">
        <f t="shared" si="1"/>
        <v>0</v>
      </c>
      <c r="E9" s="29">
        <f t="shared" si="2"/>
        <v>0</v>
      </c>
      <c r="F9" s="29">
        <f t="shared" si="3"/>
        <v>0</v>
      </c>
    </row>
    <row r="10" spans="1:13" x14ac:dyDescent="0.25">
      <c r="A10" t="s">
        <v>70</v>
      </c>
      <c r="B10" s="23">
        <v>0</v>
      </c>
      <c r="C10" s="29">
        <f t="shared" si="0"/>
        <v>0</v>
      </c>
      <c r="D10" s="29">
        <f t="shared" si="1"/>
        <v>0</v>
      </c>
      <c r="E10" s="29">
        <f t="shared" si="2"/>
        <v>0</v>
      </c>
      <c r="F10" s="29">
        <f t="shared" si="3"/>
        <v>0</v>
      </c>
    </row>
    <row r="11" spans="1:13" x14ac:dyDescent="0.25">
      <c r="A11" s="21" t="s">
        <v>19</v>
      </c>
      <c r="B11" s="23">
        <f>SUM(B5:B10)</f>
        <v>110280.3172297157</v>
      </c>
      <c r="C11" s="29">
        <f t="shared" si="0"/>
        <v>20904.170848689962</v>
      </c>
      <c r="D11" s="29">
        <f t="shared" si="1"/>
        <v>551401.58614857844</v>
      </c>
      <c r="E11" s="29">
        <f t="shared" si="2"/>
        <v>12253.368581079523</v>
      </c>
      <c r="F11" s="29">
        <f t="shared" si="3"/>
        <v>584559.12557834794</v>
      </c>
      <c r="G11" s="49">
        <f>SUM(C11:E11)/B11</f>
        <v>5.3006659779614322</v>
      </c>
    </row>
    <row r="14" spans="1:13" ht="20.25" customHeight="1" x14ac:dyDescent="0.25">
      <c r="A14" t="s">
        <v>76</v>
      </c>
    </row>
    <row r="15" spans="1:13" x14ac:dyDescent="0.25">
      <c r="A15" t="s">
        <v>135</v>
      </c>
    </row>
    <row r="16" spans="1:13" x14ac:dyDescent="0.25">
      <c r="A16" t="s">
        <v>139</v>
      </c>
    </row>
    <row r="19" spans="1:5" x14ac:dyDescent="0.25">
      <c r="A19" t="s">
        <v>73</v>
      </c>
    </row>
    <row r="20" spans="1:5" x14ac:dyDescent="0.25">
      <c r="A20" t="s">
        <v>32</v>
      </c>
      <c r="B20" t="s">
        <v>74</v>
      </c>
      <c r="C20" t="s">
        <v>140</v>
      </c>
      <c r="D20" t="s">
        <v>27</v>
      </c>
    </row>
    <row r="21" spans="1:5" x14ac:dyDescent="0.25">
      <c r="A21" t="s">
        <v>141</v>
      </c>
      <c r="B21" t="s">
        <v>142</v>
      </c>
      <c r="C21" s="29">
        <f>(4789.27+2967.74+500)/3</f>
        <v>2752.3366666666666</v>
      </c>
      <c r="D21" t="s">
        <v>143</v>
      </c>
    </row>
    <row r="22" spans="1:5" x14ac:dyDescent="0.25">
      <c r="A22" t="s">
        <v>154</v>
      </c>
      <c r="B22" t="s">
        <v>75</v>
      </c>
      <c r="C22" s="29">
        <v>5</v>
      </c>
    </row>
    <row r="23" spans="1:5" x14ac:dyDescent="0.25">
      <c r="A23" t="s">
        <v>147</v>
      </c>
      <c r="B23" t="s">
        <v>120</v>
      </c>
      <c r="C23" s="29">
        <v>20</v>
      </c>
      <c r="D23" t="s">
        <v>156</v>
      </c>
    </row>
    <row r="24" spans="1:5" x14ac:dyDescent="0.25">
      <c r="A24" t="s">
        <v>201</v>
      </c>
      <c r="B24" t="s">
        <v>75</v>
      </c>
      <c r="C24" s="46">
        <f>500/5280</f>
        <v>9.4696969696969696E-2</v>
      </c>
      <c r="D24" t="s">
        <v>202</v>
      </c>
      <c r="E24">
        <f>500/5280</f>
        <v>9.4696969696969696E-2</v>
      </c>
    </row>
  </sheetData>
  <mergeCells count="1">
    <mergeCell ref="A1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G12" sqref="G12"/>
    </sheetView>
  </sheetViews>
  <sheetFormatPr defaultRowHeight="15" x14ac:dyDescent="0.25"/>
  <cols>
    <col min="1" max="1" width="23" customWidth="1"/>
    <col min="2" max="2" width="10.28515625" bestFit="1" customWidth="1"/>
    <col min="3" max="3" width="21" bestFit="1" customWidth="1"/>
    <col min="4" max="4" width="43.5703125" bestFit="1" customWidth="1"/>
    <col min="5" max="5" width="13.85546875" bestFit="1" customWidth="1"/>
    <col min="6" max="6" width="12.5703125" bestFit="1" customWidth="1"/>
    <col min="7" max="7" width="13.28515625" customWidth="1"/>
    <col min="12" max="12" width="12" customWidth="1"/>
    <col min="13" max="13" width="10.5703125" bestFit="1" customWidth="1"/>
  </cols>
  <sheetData>
    <row r="1" spans="1:13" ht="15" customHeight="1" x14ac:dyDescent="0.5">
      <c r="A1" s="77" t="s">
        <v>78</v>
      </c>
      <c r="B1" s="77"/>
      <c r="C1" s="77"/>
      <c r="D1" s="24"/>
    </row>
    <row r="2" spans="1:13" ht="15" customHeight="1" x14ac:dyDescent="0.5">
      <c r="A2" s="77"/>
      <c r="B2" s="77"/>
      <c r="C2" s="77"/>
      <c r="D2" s="24"/>
    </row>
    <row r="3" spans="1:13" ht="15" customHeight="1" x14ac:dyDescent="0.5">
      <c r="A3" s="25"/>
      <c r="B3" s="25"/>
      <c r="C3" s="25"/>
      <c r="D3" s="25"/>
    </row>
    <row r="4" spans="1:13" x14ac:dyDescent="0.25">
      <c r="C4" s="78"/>
      <c r="D4" s="78"/>
    </row>
    <row r="5" spans="1:13" x14ac:dyDescent="0.25">
      <c r="A5" s="21" t="s">
        <v>64</v>
      </c>
      <c r="B5" s="21" t="s">
        <v>71</v>
      </c>
      <c r="C5" s="21" t="s">
        <v>141</v>
      </c>
      <c r="D5" s="21" t="s">
        <v>158</v>
      </c>
      <c r="E5" s="21" t="s">
        <v>147</v>
      </c>
      <c r="F5" s="21" t="s">
        <v>149</v>
      </c>
      <c r="G5" s="21" t="s">
        <v>206</v>
      </c>
      <c r="H5" s="21"/>
      <c r="J5" s="21" t="s">
        <v>83</v>
      </c>
      <c r="K5" s="21" t="s">
        <v>174</v>
      </c>
      <c r="L5" s="21" t="s">
        <v>117</v>
      </c>
      <c r="M5" s="21" t="s">
        <v>33</v>
      </c>
    </row>
    <row r="6" spans="1:13" x14ac:dyDescent="0.25">
      <c r="A6" t="s">
        <v>65</v>
      </c>
      <c r="B6" s="23">
        <f>ALL_SEGMENTS!D4</f>
        <v>5419.4571811911001</v>
      </c>
      <c r="C6" s="29">
        <f>B6*3*$C$22/43560</f>
        <v>1027.284484381697</v>
      </c>
      <c r="D6" s="29">
        <f>B6*$C$24</f>
        <v>108389.143623822</v>
      </c>
      <c r="E6" s="29">
        <f>(3*B6*($K$6/12)*0.1/27)*20</f>
        <v>602.16190902123333</v>
      </c>
      <c r="F6" s="29">
        <f>SUM(C6:E6)</f>
        <v>110018.59001722494</v>
      </c>
      <c r="J6" t="s">
        <v>103</v>
      </c>
      <c r="K6">
        <v>6</v>
      </c>
      <c r="L6" s="23">
        <f>B12*3*(K6/12)*0.1/27</f>
        <v>96.315117056997053</v>
      </c>
      <c r="M6" s="29">
        <f>L6*C24</f>
        <v>1926.3023411399411</v>
      </c>
    </row>
    <row r="7" spans="1:13" x14ac:dyDescent="0.25">
      <c r="A7" t="s">
        <v>66</v>
      </c>
      <c r="B7" s="23">
        <f>ALL_SEGMENTS!D14</f>
        <v>4500.61050335444</v>
      </c>
      <c r="C7" s="29">
        <f t="shared" ref="C7:C12" si="0">B7*3*$C$22/43560</f>
        <v>853.11262470850875</v>
      </c>
      <c r="D7" s="29">
        <f t="shared" ref="D7:D12" si="1">B7*$C$24</f>
        <v>90012.210067088803</v>
      </c>
      <c r="E7" s="29">
        <f t="shared" ref="E7:E12" si="2">(3*B7*($K$6/12)*0.1/27)*20</f>
        <v>500.06783370604893</v>
      </c>
      <c r="F7" s="29">
        <f t="shared" ref="F7:F12" si="3">SUM(C7:E7)</f>
        <v>91365.390525503361</v>
      </c>
    </row>
    <row r="8" spans="1:13" x14ac:dyDescent="0.25">
      <c r="A8" t="s">
        <v>67</v>
      </c>
      <c r="B8" s="23">
        <f>ALL_SEGMENTS!D25</f>
        <v>7416.6533857139302</v>
      </c>
      <c r="C8" s="29">
        <f t="shared" si="0"/>
        <v>1405.8627450039894</v>
      </c>
      <c r="D8" s="29">
        <f t="shared" si="1"/>
        <v>148333.06771427862</v>
      </c>
      <c r="E8" s="29">
        <f t="shared" si="2"/>
        <v>824.07259841265898</v>
      </c>
      <c r="F8" s="29">
        <f t="shared" si="3"/>
        <v>150563.00305769526</v>
      </c>
    </row>
    <row r="9" spans="1:13" x14ac:dyDescent="0.25">
      <c r="A9" t="s">
        <v>68</v>
      </c>
      <c r="B9" s="23">
        <f>0</f>
        <v>0</v>
      </c>
      <c r="C9" s="29">
        <f t="shared" si="0"/>
        <v>0</v>
      </c>
      <c r="D9" s="29">
        <f t="shared" si="1"/>
        <v>0</v>
      </c>
      <c r="E9" s="29">
        <f t="shared" si="2"/>
        <v>0</v>
      </c>
      <c r="F9" s="29">
        <f t="shared" si="3"/>
        <v>0</v>
      </c>
    </row>
    <row r="10" spans="1:13" x14ac:dyDescent="0.25">
      <c r="A10" t="s">
        <v>69</v>
      </c>
      <c r="B10" s="23">
        <v>0</v>
      </c>
      <c r="C10" s="29">
        <f t="shared" si="0"/>
        <v>0</v>
      </c>
      <c r="D10" s="29">
        <f t="shared" si="1"/>
        <v>0</v>
      </c>
      <c r="E10" s="29">
        <f t="shared" si="2"/>
        <v>0</v>
      </c>
      <c r="F10" s="29">
        <f t="shared" si="3"/>
        <v>0</v>
      </c>
    </row>
    <row r="11" spans="1:13" x14ac:dyDescent="0.25">
      <c r="A11" t="s">
        <v>70</v>
      </c>
      <c r="B11" s="23">
        <v>0</v>
      </c>
      <c r="C11" s="29">
        <f t="shared" si="0"/>
        <v>0</v>
      </c>
      <c r="D11" s="29">
        <f t="shared" si="1"/>
        <v>0</v>
      </c>
      <c r="E11" s="29">
        <f t="shared" si="2"/>
        <v>0</v>
      </c>
      <c r="F11" s="29">
        <f t="shared" si="3"/>
        <v>0</v>
      </c>
    </row>
    <row r="12" spans="1:13" x14ac:dyDescent="0.25">
      <c r="A12" s="21" t="s">
        <v>19</v>
      </c>
      <c r="B12" s="23">
        <f>SUM(B6:B11)</f>
        <v>17336.721070259471</v>
      </c>
      <c r="C12" s="29">
        <f t="shared" si="0"/>
        <v>3286.2598540941949</v>
      </c>
      <c r="D12" s="29">
        <f t="shared" si="1"/>
        <v>346734.42140518944</v>
      </c>
      <c r="E12" s="29">
        <f t="shared" si="2"/>
        <v>1926.3023411399411</v>
      </c>
      <c r="F12" s="29">
        <f t="shared" si="3"/>
        <v>351946.98360042355</v>
      </c>
      <c r="G12" s="49">
        <f>SUM(C12:E12)/B12</f>
        <v>20.300665977961433</v>
      </c>
    </row>
    <row r="15" spans="1:13" x14ac:dyDescent="0.25">
      <c r="A15" t="s">
        <v>76</v>
      </c>
    </row>
    <row r="16" spans="1:13" x14ac:dyDescent="0.25">
      <c r="A16" t="s">
        <v>135</v>
      </c>
    </row>
    <row r="17" spans="1:5" x14ac:dyDescent="0.25">
      <c r="A17" t="s">
        <v>139</v>
      </c>
    </row>
    <row r="20" spans="1:5" x14ac:dyDescent="0.25">
      <c r="A20" t="s">
        <v>73</v>
      </c>
    </row>
    <row r="21" spans="1:5" x14ac:dyDescent="0.25">
      <c r="A21" t="s">
        <v>32</v>
      </c>
      <c r="B21" t="s">
        <v>74</v>
      </c>
      <c r="C21" t="s">
        <v>140</v>
      </c>
      <c r="D21" t="s">
        <v>27</v>
      </c>
    </row>
    <row r="22" spans="1:5" x14ac:dyDescent="0.25">
      <c r="A22" t="s">
        <v>141</v>
      </c>
      <c r="B22" t="s">
        <v>142</v>
      </c>
      <c r="C22" s="29">
        <f>(4789.27+2967.74+500)/3</f>
        <v>2752.3366666666666</v>
      </c>
      <c r="D22" t="s">
        <v>143</v>
      </c>
    </row>
    <row r="23" spans="1:5" x14ac:dyDescent="0.25">
      <c r="A23" t="s">
        <v>154</v>
      </c>
      <c r="B23" t="s">
        <v>75</v>
      </c>
      <c r="C23" s="29">
        <v>5</v>
      </c>
    </row>
    <row r="24" spans="1:5" x14ac:dyDescent="0.25">
      <c r="A24" t="s">
        <v>147</v>
      </c>
      <c r="B24" t="s">
        <v>120</v>
      </c>
      <c r="C24" s="29">
        <v>20</v>
      </c>
      <c r="D24" t="s">
        <v>156</v>
      </c>
    </row>
    <row r="25" spans="1:5" x14ac:dyDescent="0.25">
      <c r="A25" t="s">
        <v>201</v>
      </c>
      <c r="B25" t="s">
        <v>75</v>
      </c>
      <c r="C25" s="46">
        <f>500/5280</f>
        <v>9.4696969696969696E-2</v>
      </c>
      <c r="D25" t="s">
        <v>202</v>
      </c>
      <c r="E25">
        <f>500/5280</f>
        <v>9.4696969696969696E-2</v>
      </c>
    </row>
  </sheetData>
  <mergeCells count="2">
    <mergeCell ref="C4:D4"/>
    <mergeCell ref="A1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J13" sqref="J13"/>
    </sheetView>
  </sheetViews>
  <sheetFormatPr defaultRowHeight="15" x14ac:dyDescent="0.25"/>
  <cols>
    <col min="1" max="1" width="22" customWidth="1"/>
    <col min="2" max="2" width="10.28515625" bestFit="1" customWidth="1"/>
    <col min="3" max="3" width="21.140625" bestFit="1" customWidth="1"/>
    <col min="4" max="4" width="13.7109375" customWidth="1"/>
    <col min="5" max="5" width="14" bestFit="1" customWidth="1"/>
    <col min="6" max="8" width="12.5703125" bestFit="1" customWidth="1"/>
    <col min="9" max="9" width="14.28515625" bestFit="1" customWidth="1"/>
    <col min="15" max="15" width="12.5703125" customWidth="1"/>
  </cols>
  <sheetData>
    <row r="1" spans="1:15" ht="15" customHeight="1" x14ac:dyDescent="0.25">
      <c r="A1" s="77" t="s">
        <v>79</v>
      </c>
      <c r="B1" s="77"/>
      <c r="C1" s="77"/>
      <c r="D1" s="77"/>
    </row>
    <row r="2" spans="1:15" ht="15" customHeight="1" x14ac:dyDescent="0.25">
      <c r="A2" s="77"/>
      <c r="B2" s="77"/>
      <c r="C2" s="77"/>
      <c r="D2" s="77"/>
    </row>
    <row r="3" spans="1:15" ht="15" customHeight="1" x14ac:dyDescent="0.5">
      <c r="A3" s="25"/>
      <c r="B3" s="25"/>
      <c r="C3" s="78" t="s">
        <v>33</v>
      </c>
      <c r="D3" s="78"/>
    </row>
    <row r="4" spans="1:15" x14ac:dyDescent="0.25">
      <c r="C4" s="78"/>
      <c r="D4" s="78"/>
    </row>
    <row r="5" spans="1:15" x14ac:dyDescent="0.25">
      <c r="A5" s="21" t="s">
        <v>64</v>
      </c>
      <c r="B5" s="21" t="s">
        <v>71</v>
      </c>
      <c r="C5" s="21" t="s">
        <v>141</v>
      </c>
      <c r="D5" s="21" t="s">
        <v>154</v>
      </c>
      <c r="E5" s="21" t="s">
        <v>147</v>
      </c>
      <c r="F5" s="21" t="s">
        <v>80</v>
      </c>
      <c r="G5" s="21" t="s">
        <v>81</v>
      </c>
      <c r="H5" s="21" t="s">
        <v>170</v>
      </c>
      <c r="I5" s="21" t="s">
        <v>149</v>
      </c>
      <c r="J5" s="21" t="s">
        <v>206</v>
      </c>
      <c r="K5" s="21"/>
      <c r="M5" s="21" t="s">
        <v>83</v>
      </c>
      <c r="N5" s="21" t="s">
        <v>174</v>
      </c>
      <c r="O5" s="21" t="s">
        <v>117</v>
      </c>
    </row>
    <row r="6" spans="1:15" x14ac:dyDescent="0.25">
      <c r="A6" t="s">
        <v>65</v>
      </c>
      <c r="B6" s="23">
        <f>ALL_SEGMENTS!D5</f>
        <v>11892.3107083501</v>
      </c>
      <c r="C6" s="29">
        <f>B6*3*$C$23/43560</f>
        <v>2254.2453728639543</v>
      </c>
      <c r="D6" s="29">
        <f>B6*$C$24</f>
        <v>59461.553541750502</v>
      </c>
      <c r="E6" s="29">
        <f>(3*B6*($N$6/12)*0.1/27)*20</f>
        <v>1321.3678564833444</v>
      </c>
      <c r="F6" s="29">
        <f>B6*$C$26</f>
        <v>237846.21416700201</v>
      </c>
      <c r="G6" s="29">
        <f>B6*$C$27</f>
        <v>237846.21416700201</v>
      </c>
      <c r="H6" s="29">
        <f>$C$28*B6</f>
        <v>178384.6606252515</v>
      </c>
      <c r="I6" s="29">
        <f>SUM(C6:H6)</f>
        <v>717114.2557303533</v>
      </c>
      <c r="M6" t="s">
        <v>103</v>
      </c>
      <c r="N6">
        <v>6</v>
      </c>
      <c r="O6" s="23">
        <f>B12*3*(N6/12)*0.1/27</f>
        <v>130.66541082986714</v>
      </c>
    </row>
    <row r="7" spans="1:15" x14ac:dyDescent="0.25">
      <c r="A7" t="s">
        <v>66</v>
      </c>
      <c r="B7" s="23">
        <f>ALL_SEGMENTS!D15</f>
        <v>10801.1043778599</v>
      </c>
      <c r="C7" s="29">
        <f t="shared" ref="C7:C12" si="0">B7*3*$C$23/43560</f>
        <v>2047.4019021816569</v>
      </c>
      <c r="D7" s="29">
        <f t="shared" ref="D7:D12" si="1">B7*$C$24</f>
        <v>54005.521889299496</v>
      </c>
      <c r="E7" s="29">
        <f t="shared" ref="E7:E12" si="2">(3*B7*($N$6/12)*0.1/27)*20</f>
        <v>1200.1227086511001</v>
      </c>
      <c r="F7" s="29">
        <f t="shared" ref="F7:F11" si="3">B7*$C$26</f>
        <v>216022.08755719799</v>
      </c>
      <c r="G7" s="29">
        <f t="shared" ref="G7:G12" si="4">B7*$C$27</f>
        <v>216022.08755719799</v>
      </c>
      <c r="H7" s="29">
        <f t="shared" ref="H7:H12" si="5">$C$28*B7</f>
        <v>162016.56566789848</v>
      </c>
      <c r="I7" s="29">
        <f t="shared" ref="I7:I12" si="6">SUM(C7:H7)</f>
        <v>651313.78728242673</v>
      </c>
    </row>
    <row r="8" spans="1:15" x14ac:dyDescent="0.25">
      <c r="A8" t="s">
        <v>67</v>
      </c>
      <c r="B8" s="23">
        <f>ALL_SEGMENTS!D26</f>
        <v>826.35886316608605</v>
      </c>
      <c r="C8" s="29">
        <f t="shared" si="0"/>
        <v>156.6403442780304</v>
      </c>
      <c r="D8" s="29">
        <f t="shared" si="1"/>
        <v>4131.7943158304306</v>
      </c>
      <c r="E8" s="29">
        <f t="shared" si="2"/>
        <v>91.817651462898468</v>
      </c>
      <c r="F8" s="29">
        <f t="shared" si="3"/>
        <v>16527.177263321722</v>
      </c>
      <c r="G8" s="29">
        <f t="shared" si="4"/>
        <v>16527.177263321722</v>
      </c>
      <c r="H8" s="29">
        <f t="shared" si="5"/>
        <v>12395.382947491291</v>
      </c>
      <c r="I8" s="29">
        <f t="shared" si="6"/>
        <v>49829.989785706101</v>
      </c>
    </row>
    <row r="9" spans="1:15" x14ac:dyDescent="0.25">
      <c r="A9" t="s">
        <v>68</v>
      </c>
      <c r="B9">
        <f>0</f>
        <v>0</v>
      </c>
      <c r="C9" s="29">
        <f t="shared" si="0"/>
        <v>0</v>
      </c>
      <c r="D9" s="29">
        <f t="shared" si="1"/>
        <v>0</v>
      </c>
      <c r="E9" s="29">
        <f t="shared" si="2"/>
        <v>0</v>
      </c>
      <c r="F9" s="29">
        <f t="shared" si="3"/>
        <v>0</v>
      </c>
      <c r="G9" s="29">
        <f t="shared" si="4"/>
        <v>0</v>
      </c>
      <c r="H9" s="29">
        <f t="shared" si="5"/>
        <v>0</v>
      </c>
      <c r="I9" s="29">
        <f t="shared" si="6"/>
        <v>0</v>
      </c>
    </row>
    <row r="10" spans="1:15" x14ac:dyDescent="0.25">
      <c r="A10" t="s">
        <v>69</v>
      </c>
      <c r="B10">
        <v>0</v>
      </c>
      <c r="C10" s="29">
        <f t="shared" si="0"/>
        <v>0</v>
      </c>
      <c r="D10" s="29">
        <f t="shared" si="1"/>
        <v>0</v>
      </c>
      <c r="E10" s="29">
        <f t="shared" si="2"/>
        <v>0</v>
      </c>
      <c r="F10" s="29">
        <f t="shared" si="3"/>
        <v>0</v>
      </c>
      <c r="G10" s="29">
        <f t="shared" si="4"/>
        <v>0</v>
      </c>
      <c r="H10" s="29">
        <f t="shared" si="5"/>
        <v>0</v>
      </c>
      <c r="I10" s="29">
        <f t="shared" si="6"/>
        <v>0</v>
      </c>
    </row>
    <row r="11" spans="1:15" x14ac:dyDescent="0.25">
      <c r="A11" t="s">
        <v>70</v>
      </c>
      <c r="B11">
        <v>0</v>
      </c>
      <c r="C11" s="29">
        <f t="shared" si="0"/>
        <v>0</v>
      </c>
      <c r="D11" s="29">
        <f t="shared" si="1"/>
        <v>0</v>
      </c>
      <c r="E11" s="29">
        <f t="shared" si="2"/>
        <v>0</v>
      </c>
      <c r="F11" s="29">
        <f t="shared" si="3"/>
        <v>0</v>
      </c>
      <c r="G11" s="29">
        <f t="shared" si="4"/>
        <v>0</v>
      </c>
      <c r="H11" s="29">
        <f t="shared" si="5"/>
        <v>0</v>
      </c>
      <c r="I11" s="29">
        <f t="shared" si="6"/>
        <v>0</v>
      </c>
    </row>
    <row r="12" spans="1:15" x14ac:dyDescent="0.25">
      <c r="A12" s="21" t="s">
        <v>19</v>
      </c>
      <c r="B12" s="23">
        <f>SUM(B6:B11)</f>
        <v>23519.773949376086</v>
      </c>
      <c r="C12" s="29">
        <f t="shared" si="0"/>
        <v>4458.2876193236416</v>
      </c>
      <c r="D12" s="29">
        <f t="shared" si="1"/>
        <v>117598.86974688043</v>
      </c>
      <c r="E12" s="29">
        <f t="shared" si="2"/>
        <v>2613.3082165973428</v>
      </c>
      <c r="F12" s="29">
        <f>B12*$C$26</f>
        <v>470395.47898752172</v>
      </c>
      <c r="G12" s="29">
        <f t="shared" si="4"/>
        <v>470395.47898752172</v>
      </c>
      <c r="H12" s="29">
        <f t="shared" si="5"/>
        <v>352796.60924064129</v>
      </c>
      <c r="I12" s="29">
        <f t="shared" si="6"/>
        <v>1418258.0327984863</v>
      </c>
      <c r="J12" s="49">
        <f>SUM(C12:G12)/B12</f>
        <v>45.300665977961437</v>
      </c>
    </row>
    <row r="15" spans="1:15" x14ac:dyDescent="0.25">
      <c r="A15" t="s">
        <v>76</v>
      </c>
    </row>
    <row r="16" spans="1:15" x14ac:dyDescent="0.25">
      <c r="A16" t="s">
        <v>82</v>
      </c>
    </row>
    <row r="17" spans="1:5" x14ac:dyDescent="0.25">
      <c r="A17" t="s">
        <v>135</v>
      </c>
    </row>
    <row r="18" spans="1:5" x14ac:dyDescent="0.25">
      <c r="A18" t="s">
        <v>139</v>
      </c>
    </row>
    <row r="21" spans="1:5" x14ac:dyDescent="0.25">
      <c r="A21" t="s">
        <v>73</v>
      </c>
    </row>
    <row r="22" spans="1:5" x14ac:dyDescent="0.25">
      <c r="A22" t="s">
        <v>32</v>
      </c>
      <c r="B22" t="s">
        <v>74</v>
      </c>
      <c r="C22" t="s">
        <v>140</v>
      </c>
      <c r="D22" t="s">
        <v>27</v>
      </c>
    </row>
    <row r="23" spans="1:5" x14ac:dyDescent="0.25">
      <c r="A23" t="s">
        <v>141</v>
      </c>
      <c r="B23" t="s">
        <v>142</v>
      </c>
      <c r="C23" s="29">
        <f>(4789.27+2967.74+500)/3</f>
        <v>2752.3366666666666</v>
      </c>
      <c r="D23" t="s">
        <v>143</v>
      </c>
    </row>
    <row r="24" spans="1:5" x14ac:dyDescent="0.25">
      <c r="A24" t="s">
        <v>154</v>
      </c>
      <c r="B24" t="s">
        <v>75</v>
      </c>
      <c r="C24" s="29">
        <v>5</v>
      </c>
    </row>
    <row r="25" spans="1:5" x14ac:dyDescent="0.25">
      <c r="A25" t="s">
        <v>147</v>
      </c>
      <c r="B25" t="s">
        <v>120</v>
      </c>
      <c r="C25" s="29">
        <v>20</v>
      </c>
      <c r="D25" t="s">
        <v>156</v>
      </c>
    </row>
    <row r="26" spans="1:5" x14ac:dyDescent="0.25">
      <c r="A26" t="s">
        <v>80</v>
      </c>
      <c r="B26" t="s">
        <v>75</v>
      </c>
      <c r="C26" s="29">
        <v>20</v>
      </c>
      <c r="D26" t="s">
        <v>77</v>
      </c>
    </row>
    <row r="27" spans="1:5" x14ac:dyDescent="0.25">
      <c r="A27" t="s">
        <v>81</v>
      </c>
      <c r="B27" t="s">
        <v>75</v>
      </c>
      <c r="C27" s="29">
        <v>20</v>
      </c>
      <c r="D27" t="s">
        <v>77</v>
      </c>
    </row>
    <row r="28" spans="1:5" x14ac:dyDescent="0.25">
      <c r="A28" t="s">
        <v>170</v>
      </c>
      <c r="B28" t="s">
        <v>75</v>
      </c>
      <c r="C28" s="29">
        <v>15</v>
      </c>
      <c r="D28" t="s">
        <v>171</v>
      </c>
    </row>
    <row r="29" spans="1:5" x14ac:dyDescent="0.25">
      <c r="A29" t="s">
        <v>201</v>
      </c>
      <c r="B29" t="s">
        <v>75</v>
      </c>
      <c r="C29" s="46">
        <f>500/5280</f>
        <v>9.4696969696969696E-2</v>
      </c>
      <c r="D29" t="s">
        <v>202</v>
      </c>
      <c r="E29">
        <f>500/5280</f>
        <v>9.4696969696969696E-2</v>
      </c>
    </row>
  </sheetData>
  <mergeCells count="3">
    <mergeCell ref="A1:D2"/>
    <mergeCell ref="C3:D3"/>
    <mergeCell ref="C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C8" sqref="C8"/>
    </sheetView>
  </sheetViews>
  <sheetFormatPr defaultRowHeight="15" x14ac:dyDescent="0.25"/>
  <cols>
    <col min="1" max="1" width="21.5703125" customWidth="1"/>
    <col min="3" max="3" width="21.140625" bestFit="1" customWidth="1"/>
    <col min="4" max="4" width="28.28515625" customWidth="1"/>
    <col min="5" max="5" width="14" bestFit="1" customWidth="1"/>
    <col min="6" max="6" width="12.5703125" bestFit="1" customWidth="1"/>
    <col min="7" max="7" width="14.28515625" bestFit="1" customWidth="1"/>
    <col min="8" max="8" width="12.5703125" bestFit="1" customWidth="1"/>
    <col min="9" max="9" width="14.28515625" bestFit="1" customWidth="1"/>
    <col min="15" max="15" width="12.28515625" customWidth="1"/>
  </cols>
  <sheetData>
    <row r="1" spans="1:15" x14ac:dyDescent="0.25">
      <c r="A1" s="77" t="s">
        <v>104</v>
      </c>
      <c r="B1" s="77"/>
      <c r="C1" s="77"/>
      <c r="D1" s="77"/>
    </row>
    <row r="2" spans="1:15" x14ac:dyDescent="0.25">
      <c r="A2" s="77"/>
      <c r="B2" s="77"/>
      <c r="C2" s="77"/>
      <c r="D2" s="77"/>
    </row>
    <row r="3" spans="1:15" ht="15" customHeight="1" x14ac:dyDescent="0.5">
      <c r="A3" s="25"/>
      <c r="B3" s="25"/>
      <c r="C3" s="78"/>
      <c r="D3" s="78"/>
    </row>
    <row r="4" spans="1:15" x14ac:dyDescent="0.25">
      <c r="C4" s="78"/>
      <c r="D4" s="78"/>
    </row>
    <row r="5" spans="1:15" x14ac:dyDescent="0.25">
      <c r="A5" s="21" t="s">
        <v>64</v>
      </c>
      <c r="B5" s="21" t="s">
        <v>71</v>
      </c>
      <c r="C5" s="21" t="s">
        <v>141</v>
      </c>
      <c r="D5" s="21" t="s">
        <v>158</v>
      </c>
      <c r="E5" s="21" t="s">
        <v>147</v>
      </c>
      <c r="F5" s="21" t="s">
        <v>80</v>
      </c>
      <c r="G5" s="21" t="s">
        <v>159</v>
      </c>
      <c r="H5" s="21" t="s">
        <v>170</v>
      </c>
      <c r="I5" s="21" t="s">
        <v>149</v>
      </c>
      <c r="J5" s="21" t="s">
        <v>206</v>
      </c>
      <c r="K5" s="21"/>
      <c r="M5" s="21" t="s">
        <v>83</v>
      </c>
      <c r="N5" s="21" t="s">
        <v>174</v>
      </c>
      <c r="O5" s="21" t="s">
        <v>117</v>
      </c>
    </row>
    <row r="6" spans="1:15" x14ac:dyDescent="0.25">
      <c r="A6" t="s">
        <v>65</v>
      </c>
      <c r="B6" s="23">
        <f>ALL_SEGMENTS!D6</f>
        <v>2623.8928858112699</v>
      </c>
      <c r="C6" s="29">
        <f>B6*3*$C$23/43560</f>
        <v>497.37166659946075</v>
      </c>
      <c r="D6" s="29">
        <f>$C$24*B6</f>
        <v>13119.46442905635</v>
      </c>
      <c r="E6" s="29">
        <f>(3*B6*($N$6/12)*0.1/27)*20</f>
        <v>291.54365397903001</v>
      </c>
      <c r="F6" s="29">
        <f>B6*$C$26</f>
        <v>52477.857716225401</v>
      </c>
      <c r="G6" s="29">
        <f>$C$27*3*B6</f>
        <v>236150.35972301429</v>
      </c>
      <c r="H6" s="29">
        <f>$C$28*B6</f>
        <v>39358.393287169049</v>
      </c>
      <c r="I6" s="29">
        <f>SUM(C6:H6)</f>
        <v>341894.99047604355</v>
      </c>
      <c r="J6" s="48"/>
      <c r="M6" t="s">
        <v>103</v>
      </c>
      <c r="N6">
        <v>6</v>
      </c>
      <c r="O6" s="23">
        <f>B12*3*(N6/12)*0.1/27</f>
        <v>141.08659580213885</v>
      </c>
    </row>
    <row r="7" spans="1:15" x14ac:dyDescent="0.25">
      <c r="A7" t="s">
        <v>66</v>
      </c>
      <c r="B7" s="23">
        <f>ALL_SEGMENTS!D16</f>
        <v>12123.17755019803</v>
      </c>
      <c r="C7" s="30">
        <f>B7*3*$C$23/43560</f>
        <v>2298.0073063305931</v>
      </c>
      <c r="D7" s="29">
        <f t="shared" ref="D7:D12" si="0">$C$24*B7</f>
        <v>60615.88775099015</v>
      </c>
      <c r="E7" s="29">
        <f t="shared" ref="E7:E12" si="1">(3*B7*($N$6/12)*0.1/27)*20</f>
        <v>1347.0197277997813</v>
      </c>
      <c r="F7" s="29">
        <f t="shared" ref="F7:F12" si="2">B7*$C$26</f>
        <v>242463.5510039606</v>
      </c>
      <c r="G7" s="29">
        <f t="shared" ref="G7:G12" si="3">$C$27*3*B7</f>
        <v>1091085.9795178226</v>
      </c>
      <c r="H7" s="29">
        <f t="shared" ref="H7:H12" si="4">$C$28*B7</f>
        <v>181847.66325297044</v>
      </c>
      <c r="I7" s="29">
        <f>SUM(C7:H7)</f>
        <v>1579658.1085598741</v>
      </c>
    </row>
    <row r="8" spans="1:15" x14ac:dyDescent="0.25">
      <c r="A8" t="s">
        <v>67</v>
      </c>
      <c r="B8" s="23">
        <f>ALL_SEGMENTS!D27</f>
        <v>10648.516808375691</v>
      </c>
      <c r="C8" s="29">
        <f t="shared" ref="C8:C12" si="5">B8*3*$C$23/43560</f>
        <v>2018.4781857650635</v>
      </c>
      <c r="D8" s="29">
        <f t="shared" si="0"/>
        <v>53242.58404187845</v>
      </c>
      <c r="E8" s="29">
        <f t="shared" si="1"/>
        <v>1183.1685342639657</v>
      </c>
      <c r="F8" s="29">
        <f t="shared" si="2"/>
        <v>212970.3361675138</v>
      </c>
      <c r="G8" s="29">
        <f t="shared" si="3"/>
        <v>958366.51275381213</v>
      </c>
      <c r="H8" s="29">
        <f t="shared" si="4"/>
        <v>159727.75212563536</v>
      </c>
      <c r="I8" s="29">
        <f t="shared" ref="I8:I12" si="6">SUM(C8:H8)</f>
        <v>1387508.8318088688</v>
      </c>
    </row>
    <row r="9" spans="1:15" x14ac:dyDescent="0.25">
      <c r="A9" t="s">
        <v>68</v>
      </c>
      <c r="B9">
        <f>0</f>
        <v>0</v>
      </c>
      <c r="C9" s="29">
        <f t="shared" si="5"/>
        <v>0</v>
      </c>
      <c r="D9" s="29">
        <f t="shared" si="0"/>
        <v>0</v>
      </c>
      <c r="E9" s="29">
        <f t="shared" si="1"/>
        <v>0</v>
      </c>
      <c r="F9" s="29">
        <f t="shared" si="2"/>
        <v>0</v>
      </c>
      <c r="G9" s="29">
        <f t="shared" si="3"/>
        <v>0</v>
      </c>
      <c r="H9" s="29">
        <f t="shared" si="4"/>
        <v>0</v>
      </c>
      <c r="I9" s="29">
        <f t="shared" si="6"/>
        <v>0</v>
      </c>
    </row>
    <row r="10" spans="1:15" x14ac:dyDescent="0.25">
      <c r="A10" t="s">
        <v>69</v>
      </c>
      <c r="B10">
        <v>0</v>
      </c>
      <c r="C10" s="29">
        <f t="shared" si="5"/>
        <v>0</v>
      </c>
      <c r="D10" s="29">
        <f t="shared" si="0"/>
        <v>0</v>
      </c>
      <c r="E10" s="29">
        <f t="shared" si="1"/>
        <v>0</v>
      </c>
      <c r="F10" s="29">
        <f t="shared" si="2"/>
        <v>0</v>
      </c>
      <c r="G10" s="29">
        <f t="shared" si="3"/>
        <v>0</v>
      </c>
      <c r="H10" s="29">
        <f t="shared" si="4"/>
        <v>0</v>
      </c>
      <c r="I10" s="29">
        <f t="shared" si="6"/>
        <v>0</v>
      </c>
    </row>
    <row r="11" spans="1:15" x14ac:dyDescent="0.25">
      <c r="A11" t="s">
        <v>70</v>
      </c>
      <c r="B11">
        <v>0</v>
      </c>
      <c r="C11" s="29">
        <f t="shared" si="5"/>
        <v>0</v>
      </c>
      <c r="D11" s="29">
        <f t="shared" si="0"/>
        <v>0</v>
      </c>
      <c r="E11" s="29">
        <f t="shared" si="1"/>
        <v>0</v>
      </c>
      <c r="F11" s="29">
        <f t="shared" si="2"/>
        <v>0</v>
      </c>
      <c r="G11" s="29">
        <f t="shared" si="3"/>
        <v>0</v>
      </c>
      <c r="H11" s="29">
        <f t="shared" si="4"/>
        <v>0</v>
      </c>
      <c r="I11" s="29">
        <f t="shared" si="6"/>
        <v>0</v>
      </c>
    </row>
    <row r="12" spans="1:15" x14ac:dyDescent="0.25">
      <c r="A12" s="21" t="s">
        <v>19</v>
      </c>
      <c r="B12" s="23">
        <f>SUM(B6:B11)</f>
        <v>25395.587244384991</v>
      </c>
      <c r="C12" s="29">
        <f t="shared" si="5"/>
        <v>4813.8571586951166</v>
      </c>
      <c r="D12" s="29">
        <f t="shared" si="0"/>
        <v>126977.93622192496</v>
      </c>
      <c r="E12" s="29">
        <f t="shared" si="1"/>
        <v>2821.7319160427769</v>
      </c>
      <c r="F12" s="29">
        <f t="shared" si="2"/>
        <v>507911.74488769984</v>
      </c>
      <c r="G12" s="29">
        <f t="shared" si="3"/>
        <v>2285602.851994649</v>
      </c>
      <c r="H12" s="29">
        <f t="shared" si="4"/>
        <v>380933.80866577488</v>
      </c>
      <c r="I12" s="29">
        <f t="shared" si="6"/>
        <v>3309061.9308447866</v>
      </c>
      <c r="J12" s="49">
        <f>SUM(C12:F12)/B12</f>
        <v>25.300665977961433</v>
      </c>
    </row>
    <row r="15" spans="1:15" x14ac:dyDescent="0.25">
      <c r="A15" t="s">
        <v>76</v>
      </c>
    </row>
    <row r="16" spans="1:15" x14ac:dyDescent="0.25">
      <c r="A16" t="s">
        <v>135</v>
      </c>
    </row>
    <row r="17" spans="1:5" x14ac:dyDescent="0.25">
      <c r="A17" t="s">
        <v>139</v>
      </c>
    </row>
    <row r="18" spans="1:5" x14ac:dyDescent="0.25">
      <c r="A18" t="s">
        <v>82</v>
      </c>
    </row>
    <row r="21" spans="1:5" x14ac:dyDescent="0.25">
      <c r="A21" t="s">
        <v>73</v>
      </c>
    </row>
    <row r="22" spans="1:5" x14ac:dyDescent="0.25">
      <c r="A22" t="s">
        <v>32</v>
      </c>
      <c r="B22" t="s">
        <v>74</v>
      </c>
      <c r="C22" t="s">
        <v>140</v>
      </c>
      <c r="D22" t="s">
        <v>27</v>
      </c>
    </row>
    <row r="23" spans="1:5" x14ac:dyDescent="0.25">
      <c r="A23" t="s">
        <v>141</v>
      </c>
      <c r="B23" t="s">
        <v>142</v>
      </c>
      <c r="C23" s="29">
        <f>(4789.27+2967.74+500)/3</f>
        <v>2752.3366666666666</v>
      </c>
      <c r="D23" t="s">
        <v>143</v>
      </c>
    </row>
    <row r="24" spans="1:5" x14ac:dyDescent="0.25">
      <c r="A24" t="s">
        <v>154</v>
      </c>
      <c r="B24" t="s">
        <v>75</v>
      </c>
      <c r="C24" s="29">
        <v>5</v>
      </c>
    </row>
    <row r="25" spans="1:5" x14ac:dyDescent="0.25">
      <c r="A25" t="s">
        <v>147</v>
      </c>
      <c r="B25" t="s">
        <v>120</v>
      </c>
      <c r="C25" s="29">
        <v>20</v>
      </c>
      <c r="D25" t="s">
        <v>156</v>
      </c>
    </row>
    <row r="26" spans="1:5" x14ac:dyDescent="0.25">
      <c r="A26" t="s">
        <v>80</v>
      </c>
      <c r="B26" t="s">
        <v>75</v>
      </c>
      <c r="C26" s="29">
        <v>20</v>
      </c>
      <c r="D26" t="s">
        <v>77</v>
      </c>
    </row>
    <row r="27" spans="1:5" x14ac:dyDescent="0.25">
      <c r="A27" t="s">
        <v>159</v>
      </c>
      <c r="B27" t="s">
        <v>148</v>
      </c>
      <c r="C27" s="29">
        <v>30</v>
      </c>
      <c r="D27" t="s">
        <v>160</v>
      </c>
    </row>
    <row r="28" spans="1:5" x14ac:dyDescent="0.25">
      <c r="A28" t="s">
        <v>170</v>
      </c>
      <c r="B28" t="s">
        <v>75</v>
      </c>
      <c r="C28" s="29">
        <v>15</v>
      </c>
      <c r="D28" t="s">
        <v>171</v>
      </c>
    </row>
    <row r="29" spans="1:5" x14ac:dyDescent="0.25">
      <c r="A29" t="s">
        <v>201</v>
      </c>
      <c r="B29" t="s">
        <v>75</v>
      </c>
      <c r="C29" s="46">
        <f>500/5280</f>
        <v>9.4696969696969696E-2</v>
      </c>
      <c r="D29" t="s">
        <v>202</v>
      </c>
      <c r="E29">
        <f>500/5280</f>
        <v>9.4696969696969696E-2</v>
      </c>
    </row>
  </sheetData>
  <mergeCells count="3">
    <mergeCell ref="A1:D2"/>
    <mergeCell ref="C3:D3"/>
    <mergeCell ref="C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I13" sqref="I13"/>
    </sheetView>
  </sheetViews>
  <sheetFormatPr defaultRowHeight="15" x14ac:dyDescent="0.25"/>
  <cols>
    <col min="1" max="1" width="21.85546875" customWidth="1"/>
    <col min="2" max="2" width="10.28515625" bestFit="1" customWidth="1"/>
    <col min="3" max="3" width="21.140625" bestFit="1" customWidth="1"/>
    <col min="4" max="4" width="29.140625" customWidth="1"/>
    <col min="5" max="5" width="13.85546875" customWidth="1"/>
    <col min="6" max="6" width="11.5703125" bestFit="1" customWidth="1"/>
    <col min="7" max="7" width="12.140625" bestFit="1" customWidth="1"/>
    <col min="8" max="8" width="11.5703125" bestFit="1" customWidth="1"/>
    <col min="14" max="14" width="13.28515625" customWidth="1"/>
  </cols>
  <sheetData>
    <row r="1" spans="1:15" x14ac:dyDescent="0.25">
      <c r="A1" s="77" t="s">
        <v>105</v>
      </c>
      <c r="B1" s="77"/>
      <c r="C1" s="77"/>
      <c r="D1" s="77"/>
    </row>
    <row r="2" spans="1:15" x14ac:dyDescent="0.25">
      <c r="A2" s="77"/>
      <c r="B2" s="77"/>
      <c r="C2" s="77"/>
      <c r="D2" s="77"/>
    </row>
    <row r="3" spans="1:15" ht="15" customHeight="1" x14ac:dyDescent="0.5">
      <c r="A3" s="25"/>
      <c r="B3" s="25"/>
      <c r="C3" s="78"/>
      <c r="D3" s="78"/>
    </row>
    <row r="4" spans="1:15" x14ac:dyDescent="0.25">
      <c r="C4" s="78"/>
      <c r="D4" s="78"/>
    </row>
    <row r="5" spans="1:15" x14ac:dyDescent="0.25">
      <c r="A5" s="21" t="s">
        <v>64</v>
      </c>
      <c r="B5" s="21" t="s">
        <v>71</v>
      </c>
      <c r="C5" s="21" t="s">
        <v>141</v>
      </c>
      <c r="D5" s="21" t="s">
        <v>158</v>
      </c>
      <c r="E5" s="21" t="s">
        <v>147</v>
      </c>
      <c r="F5" s="21" t="s">
        <v>80</v>
      </c>
      <c r="G5" s="21" t="s">
        <v>170</v>
      </c>
      <c r="H5" s="21" t="s">
        <v>149</v>
      </c>
      <c r="I5" s="21" t="s">
        <v>206</v>
      </c>
      <c r="J5" s="21"/>
      <c r="L5" s="21" t="s">
        <v>83</v>
      </c>
      <c r="M5" s="21" t="s">
        <v>174</v>
      </c>
      <c r="N5" s="21" t="s">
        <v>117</v>
      </c>
      <c r="O5" s="21" t="s">
        <v>33</v>
      </c>
    </row>
    <row r="6" spans="1:15" x14ac:dyDescent="0.25">
      <c r="A6" t="s">
        <v>65</v>
      </c>
      <c r="B6" s="23">
        <f>ALL_SEGMENTS!D7</f>
        <v>695.99444761750306</v>
      </c>
      <c r="C6" s="29">
        <f>B6*3*$C$23/43560</f>
        <v>131.92913484669876</v>
      </c>
      <c r="D6" s="29">
        <f>B6*$C$24</f>
        <v>3479.9722380875155</v>
      </c>
      <c r="E6" s="29">
        <f>(3*B6*($M$6/12)*0.1/27)*20</f>
        <v>77.332716401944779</v>
      </c>
      <c r="F6" s="29">
        <f>$C$26*B6</f>
        <v>13919.888952350062</v>
      </c>
      <c r="G6" s="29">
        <f>$C$27*B6</f>
        <v>10439.916714262547</v>
      </c>
      <c r="H6" s="29">
        <f>SUM(C6:G6)</f>
        <v>28049.039755948768</v>
      </c>
      <c r="L6" t="s">
        <v>103</v>
      </c>
      <c r="M6">
        <v>6</v>
      </c>
      <c r="N6" s="23">
        <f>B12*3*(M6/12)*0.1/27</f>
        <v>9.2734660413372776</v>
      </c>
      <c r="O6" s="29">
        <f>N6*Materials!F5</f>
        <v>185.46932082674556</v>
      </c>
    </row>
    <row r="7" spans="1:15" x14ac:dyDescent="0.25">
      <c r="A7" t="s">
        <v>66</v>
      </c>
      <c r="B7" s="23">
        <f>ALL_SEGMENTS!D17</f>
        <v>973.22943982320703</v>
      </c>
      <c r="C7" s="29">
        <f t="shared" ref="C7:C12" si="0">B7*3*$C$23/43560</f>
        <v>184.48037688050087</v>
      </c>
      <c r="D7" s="29">
        <f t="shared" ref="D7:D12" si="1">B7*$C$24</f>
        <v>4866.1471991160352</v>
      </c>
      <c r="E7" s="29">
        <f t="shared" ref="E7:E12" si="2">(3*B7*($M$6/12)*0.1/27)*20</f>
        <v>108.13660442480078</v>
      </c>
      <c r="F7" s="29">
        <f t="shared" ref="F7:F12" si="3">$C$26*B7</f>
        <v>19464.588796464141</v>
      </c>
      <c r="G7" s="29">
        <f t="shared" ref="G7:G12" si="4">$C$27*B7</f>
        <v>14598.441597348105</v>
      </c>
      <c r="H7" s="29">
        <f t="shared" ref="H7:H12" si="5">SUM(C7:G7)</f>
        <v>39221.794574233587</v>
      </c>
    </row>
    <row r="8" spans="1:15" x14ac:dyDescent="0.25">
      <c r="A8" t="s">
        <v>67</v>
      </c>
      <c r="B8" s="23">
        <f>0</f>
        <v>0</v>
      </c>
      <c r="C8" s="29">
        <f t="shared" si="0"/>
        <v>0</v>
      </c>
      <c r="D8" s="29">
        <f t="shared" si="1"/>
        <v>0</v>
      </c>
      <c r="E8" s="29">
        <f t="shared" si="2"/>
        <v>0</v>
      </c>
      <c r="F8" s="29">
        <f t="shared" si="3"/>
        <v>0</v>
      </c>
      <c r="G8" s="29">
        <f t="shared" si="4"/>
        <v>0</v>
      </c>
      <c r="H8" s="29">
        <f t="shared" si="5"/>
        <v>0</v>
      </c>
    </row>
    <row r="9" spans="1:15" x14ac:dyDescent="0.25">
      <c r="A9" t="s">
        <v>68</v>
      </c>
      <c r="B9">
        <f>0</f>
        <v>0</v>
      </c>
      <c r="C9" s="29">
        <f t="shared" si="0"/>
        <v>0</v>
      </c>
      <c r="D9" s="29">
        <f t="shared" si="1"/>
        <v>0</v>
      </c>
      <c r="E9" s="29">
        <f t="shared" si="2"/>
        <v>0</v>
      </c>
      <c r="F9" s="29">
        <f t="shared" si="3"/>
        <v>0</v>
      </c>
      <c r="G9" s="29">
        <f t="shared" si="4"/>
        <v>0</v>
      </c>
      <c r="H9" s="29">
        <f t="shared" si="5"/>
        <v>0</v>
      </c>
    </row>
    <row r="10" spans="1:15" x14ac:dyDescent="0.25">
      <c r="A10" t="s">
        <v>69</v>
      </c>
      <c r="B10">
        <v>0</v>
      </c>
      <c r="C10" s="29">
        <f t="shared" si="0"/>
        <v>0</v>
      </c>
      <c r="D10" s="29">
        <f t="shared" si="1"/>
        <v>0</v>
      </c>
      <c r="E10" s="29">
        <f t="shared" si="2"/>
        <v>0</v>
      </c>
      <c r="F10" s="29">
        <f t="shared" si="3"/>
        <v>0</v>
      </c>
      <c r="G10" s="29">
        <f t="shared" si="4"/>
        <v>0</v>
      </c>
      <c r="H10" s="29">
        <f t="shared" si="5"/>
        <v>0</v>
      </c>
    </row>
    <row r="11" spans="1:15" x14ac:dyDescent="0.25">
      <c r="A11" t="s">
        <v>70</v>
      </c>
      <c r="B11">
        <v>0</v>
      </c>
      <c r="C11" s="29">
        <f t="shared" si="0"/>
        <v>0</v>
      </c>
      <c r="D11" s="29">
        <f t="shared" si="1"/>
        <v>0</v>
      </c>
      <c r="E11" s="29">
        <f t="shared" si="2"/>
        <v>0</v>
      </c>
      <c r="F11" s="29">
        <f t="shared" si="3"/>
        <v>0</v>
      </c>
      <c r="G11" s="29">
        <f t="shared" si="4"/>
        <v>0</v>
      </c>
      <c r="H11" s="29">
        <f t="shared" si="5"/>
        <v>0</v>
      </c>
    </row>
    <row r="12" spans="1:15" x14ac:dyDescent="0.25">
      <c r="A12" s="21" t="s">
        <v>19</v>
      </c>
      <c r="B12" s="23">
        <f>SUM(B6:B11)</f>
        <v>1669.2238874407101</v>
      </c>
      <c r="C12" s="29">
        <f t="shared" si="0"/>
        <v>316.40951172719963</v>
      </c>
      <c r="D12" s="29">
        <f t="shared" si="1"/>
        <v>8346.1194372035498</v>
      </c>
      <c r="E12" s="29">
        <f t="shared" si="2"/>
        <v>185.46932082674556</v>
      </c>
      <c r="F12" s="29">
        <f t="shared" si="3"/>
        <v>33384.477748814199</v>
      </c>
      <c r="G12" s="29">
        <f t="shared" si="4"/>
        <v>25038.358311610653</v>
      </c>
      <c r="H12" s="29">
        <f t="shared" si="5"/>
        <v>67270.834330182348</v>
      </c>
      <c r="I12" s="49">
        <f>SUM(C12:F12)/B12</f>
        <v>25.30066597796143</v>
      </c>
    </row>
    <row r="15" spans="1:15" x14ac:dyDescent="0.25">
      <c r="A15" t="s">
        <v>76</v>
      </c>
    </row>
    <row r="16" spans="1:15" x14ac:dyDescent="0.25">
      <c r="A16" t="s">
        <v>135</v>
      </c>
    </row>
    <row r="17" spans="1:5" x14ac:dyDescent="0.25">
      <c r="A17" t="s">
        <v>139</v>
      </c>
    </row>
    <row r="21" spans="1:5" x14ac:dyDescent="0.25">
      <c r="A21" t="s">
        <v>73</v>
      </c>
    </row>
    <row r="22" spans="1:5" x14ac:dyDescent="0.25">
      <c r="A22" t="s">
        <v>32</v>
      </c>
      <c r="B22" t="s">
        <v>74</v>
      </c>
      <c r="C22" t="s">
        <v>140</v>
      </c>
      <c r="D22" t="s">
        <v>27</v>
      </c>
    </row>
    <row r="23" spans="1:5" x14ac:dyDescent="0.25">
      <c r="A23" t="s">
        <v>141</v>
      </c>
      <c r="B23" t="s">
        <v>142</v>
      </c>
      <c r="C23" s="29">
        <f>(4789.27+2967.74+500)/3</f>
        <v>2752.3366666666666</v>
      </c>
      <c r="D23" t="s">
        <v>143</v>
      </c>
    </row>
    <row r="24" spans="1:5" x14ac:dyDescent="0.25">
      <c r="A24" t="s">
        <v>154</v>
      </c>
      <c r="B24" t="s">
        <v>75</v>
      </c>
      <c r="C24" s="29">
        <v>5</v>
      </c>
    </row>
    <row r="25" spans="1:5" x14ac:dyDescent="0.25">
      <c r="A25" t="s">
        <v>147</v>
      </c>
      <c r="B25" t="s">
        <v>120</v>
      </c>
      <c r="C25" s="29">
        <v>20</v>
      </c>
      <c r="D25" t="s">
        <v>156</v>
      </c>
    </row>
    <row r="26" spans="1:5" x14ac:dyDescent="0.25">
      <c r="A26" t="s">
        <v>80</v>
      </c>
      <c r="B26" t="s">
        <v>75</v>
      </c>
      <c r="C26" s="29">
        <v>20</v>
      </c>
      <c r="D26" t="s">
        <v>77</v>
      </c>
    </row>
    <row r="27" spans="1:5" x14ac:dyDescent="0.25">
      <c r="A27" t="s">
        <v>170</v>
      </c>
      <c r="B27" t="s">
        <v>75</v>
      </c>
      <c r="C27" s="29">
        <v>15</v>
      </c>
      <c r="D27" t="s">
        <v>171</v>
      </c>
    </row>
    <row r="28" spans="1:5" x14ac:dyDescent="0.25">
      <c r="A28" t="s">
        <v>201</v>
      </c>
      <c r="B28" t="s">
        <v>75</v>
      </c>
      <c r="C28" s="46">
        <f>500/5280</f>
        <v>9.4696969696969696E-2</v>
      </c>
      <c r="D28" t="s">
        <v>202</v>
      </c>
      <c r="E28">
        <f>500/5280</f>
        <v>9.4696969696969696E-2</v>
      </c>
    </row>
  </sheetData>
  <mergeCells count="3">
    <mergeCell ref="A1:D2"/>
    <mergeCell ref="C3:D3"/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I13" sqref="I13"/>
    </sheetView>
  </sheetViews>
  <sheetFormatPr defaultRowHeight="15" x14ac:dyDescent="0.25"/>
  <cols>
    <col min="1" max="1" width="17" customWidth="1"/>
    <col min="2" max="2" width="10.28515625" bestFit="1" customWidth="1"/>
    <col min="3" max="3" width="21.140625" bestFit="1" customWidth="1"/>
    <col min="4" max="4" width="28.28515625" customWidth="1"/>
    <col min="5" max="5" width="14" bestFit="1" customWidth="1"/>
    <col min="6" max="6" width="13" customWidth="1"/>
    <col min="7" max="7" width="12.140625" bestFit="1" customWidth="1"/>
    <col min="8" max="8" width="12.5703125" bestFit="1" customWidth="1"/>
    <col min="14" max="14" width="12" customWidth="1"/>
  </cols>
  <sheetData>
    <row r="1" spans="1:15" x14ac:dyDescent="0.25">
      <c r="A1" s="77" t="s">
        <v>106</v>
      </c>
      <c r="B1" s="77"/>
      <c r="C1" s="77"/>
      <c r="D1" s="77"/>
    </row>
    <row r="2" spans="1:15" x14ac:dyDescent="0.25">
      <c r="A2" s="77"/>
      <c r="B2" s="77"/>
      <c r="C2" s="77"/>
      <c r="D2" s="77"/>
    </row>
    <row r="3" spans="1:15" ht="15" customHeight="1" x14ac:dyDescent="0.5">
      <c r="A3" s="25"/>
      <c r="B3" s="25"/>
      <c r="C3" s="78"/>
      <c r="D3" s="78"/>
    </row>
    <row r="4" spans="1:15" x14ac:dyDescent="0.25">
      <c r="C4" s="78"/>
      <c r="D4" s="78"/>
    </row>
    <row r="5" spans="1:15" x14ac:dyDescent="0.25">
      <c r="A5" s="21" t="s">
        <v>64</v>
      </c>
      <c r="B5" s="21" t="s">
        <v>71</v>
      </c>
      <c r="C5" s="21" t="s">
        <v>141</v>
      </c>
      <c r="D5" s="21" t="s">
        <v>158</v>
      </c>
      <c r="E5" s="21" t="s">
        <v>147</v>
      </c>
      <c r="F5" s="21" t="s">
        <v>80</v>
      </c>
      <c r="G5" s="21" t="s">
        <v>170</v>
      </c>
      <c r="H5" s="21" t="s">
        <v>149</v>
      </c>
      <c r="I5" s="21" t="s">
        <v>206</v>
      </c>
      <c r="J5" s="21"/>
      <c r="L5" s="21" t="s">
        <v>83</v>
      </c>
      <c r="M5" s="21" t="s">
        <v>174</v>
      </c>
      <c r="N5" s="21" t="s">
        <v>117</v>
      </c>
      <c r="O5" s="21" t="s">
        <v>33</v>
      </c>
    </row>
    <row r="6" spans="1:15" x14ac:dyDescent="0.25">
      <c r="A6" t="s">
        <v>65</v>
      </c>
      <c r="B6" s="23">
        <f>ALL_SEGMENTS!D8</f>
        <v>2413.4856665514098</v>
      </c>
      <c r="C6" s="29">
        <f>B6*3*$C$23/43560</f>
        <v>457.48795416831166</v>
      </c>
      <c r="D6" s="29">
        <f>B6*$C$24</f>
        <v>12067.428332757048</v>
      </c>
      <c r="E6" s="29">
        <f>(3*B6*($M$6/12)*0.1/27)*20</f>
        <v>268.16507406126777</v>
      </c>
      <c r="F6" s="29">
        <f>$C$26*B6</f>
        <v>96539.426662056387</v>
      </c>
      <c r="G6" s="29">
        <f>$C$27*B6</f>
        <v>36202.284998271149</v>
      </c>
      <c r="H6" s="29">
        <f>SUM(C6:G6)</f>
        <v>145534.79302131417</v>
      </c>
      <c r="L6" t="s">
        <v>103</v>
      </c>
      <c r="M6">
        <v>6</v>
      </c>
      <c r="N6" s="23">
        <f>B12*3*(M6/12)*0.1/27</f>
        <v>26.157863004249773</v>
      </c>
      <c r="O6" s="29">
        <f>N6*Materials!F5</f>
        <v>523.15726008499541</v>
      </c>
    </row>
    <row r="7" spans="1:15" x14ac:dyDescent="0.25">
      <c r="A7" t="s">
        <v>66</v>
      </c>
      <c r="B7" s="23">
        <f>ALL_SEGMENTS!D18</f>
        <v>2294.9296742135498</v>
      </c>
      <c r="C7" s="29">
        <f t="shared" ref="C7:C12" si="0">B7*3*$C$23/43560</f>
        <v>435.01508882640081</v>
      </c>
      <c r="D7" s="29">
        <f t="shared" ref="D7:D12" si="1">B7*$C$24</f>
        <v>11474.648371067749</v>
      </c>
      <c r="E7" s="29">
        <f t="shared" ref="E7:E12" si="2">(3*B7*($M$6/12)*0.1/27)*20</f>
        <v>254.99218602372775</v>
      </c>
      <c r="F7" s="29">
        <f t="shared" ref="F7:F12" si="3">$C$26*B7</f>
        <v>91797.186968541995</v>
      </c>
      <c r="G7" s="29">
        <f t="shared" ref="G7:G12" si="4">$C$27*B7</f>
        <v>34423.945113203248</v>
      </c>
      <c r="H7" s="29">
        <f t="shared" ref="H7:H12" si="5">SUM(C7:G7)</f>
        <v>138385.78772766312</v>
      </c>
    </row>
    <row r="8" spans="1:15" x14ac:dyDescent="0.25">
      <c r="A8" t="s">
        <v>67</v>
      </c>
      <c r="B8" s="23">
        <f>0</f>
        <v>0</v>
      </c>
      <c r="C8" s="29">
        <f t="shared" si="0"/>
        <v>0</v>
      </c>
      <c r="D8" s="29">
        <f t="shared" si="1"/>
        <v>0</v>
      </c>
      <c r="E8" s="29">
        <f t="shared" si="2"/>
        <v>0</v>
      </c>
      <c r="F8" s="29">
        <f t="shared" si="3"/>
        <v>0</v>
      </c>
      <c r="G8" s="29">
        <f t="shared" si="4"/>
        <v>0</v>
      </c>
      <c r="H8" s="29">
        <f t="shared" si="5"/>
        <v>0</v>
      </c>
    </row>
    <row r="9" spans="1:15" x14ac:dyDescent="0.25">
      <c r="A9" t="s">
        <v>68</v>
      </c>
      <c r="B9">
        <f>0</f>
        <v>0</v>
      </c>
      <c r="C9" s="29">
        <f t="shared" si="0"/>
        <v>0</v>
      </c>
      <c r="D9" s="29">
        <f t="shared" si="1"/>
        <v>0</v>
      </c>
      <c r="E9" s="29">
        <f t="shared" si="2"/>
        <v>0</v>
      </c>
      <c r="F9" s="29">
        <f t="shared" si="3"/>
        <v>0</v>
      </c>
      <c r="G9" s="29">
        <f t="shared" si="4"/>
        <v>0</v>
      </c>
      <c r="H9" s="29">
        <f t="shared" si="5"/>
        <v>0</v>
      </c>
    </row>
    <row r="10" spans="1:15" x14ac:dyDescent="0.25">
      <c r="A10" t="s">
        <v>69</v>
      </c>
      <c r="B10">
        <v>0</v>
      </c>
      <c r="C10" s="29">
        <f t="shared" si="0"/>
        <v>0</v>
      </c>
      <c r="D10" s="29">
        <f t="shared" si="1"/>
        <v>0</v>
      </c>
      <c r="E10" s="29">
        <f t="shared" si="2"/>
        <v>0</v>
      </c>
      <c r="F10" s="29">
        <f t="shared" si="3"/>
        <v>0</v>
      </c>
      <c r="G10" s="29">
        <f t="shared" si="4"/>
        <v>0</v>
      </c>
      <c r="H10" s="29">
        <f t="shared" si="5"/>
        <v>0</v>
      </c>
    </row>
    <row r="11" spans="1:15" x14ac:dyDescent="0.25">
      <c r="A11" t="s">
        <v>70</v>
      </c>
      <c r="B11">
        <v>0</v>
      </c>
      <c r="C11" s="29">
        <f t="shared" si="0"/>
        <v>0</v>
      </c>
      <c r="D11" s="29">
        <f t="shared" si="1"/>
        <v>0</v>
      </c>
      <c r="E11" s="29">
        <f t="shared" si="2"/>
        <v>0</v>
      </c>
      <c r="F11" s="29">
        <f t="shared" si="3"/>
        <v>0</v>
      </c>
      <c r="G11" s="29">
        <f t="shared" si="4"/>
        <v>0</v>
      </c>
      <c r="H11" s="29">
        <f t="shared" si="5"/>
        <v>0</v>
      </c>
    </row>
    <row r="12" spans="1:15" x14ac:dyDescent="0.25">
      <c r="A12" s="21" t="s">
        <v>19</v>
      </c>
      <c r="B12" s="23">
        <f>SUM(B6:B11)</f>
        <v>4708.4153407649592</v>
      </c>
      <c r="C12" s="29">
        <f t="shared" si="0"/>
        <v>892.50304299471236</v>
      </c>
      <c r="D12" s="29">
        <f t="shared" si="1"/>
        <v>23542.076703824794</v>
      </c>
      <c r="E12" s="29">
        <f t="shared" si="2"/>
        <v>523.15726008499541</v>
      </c>
      <c r="F12" s="29">
        <f t="shared" si="3"/>
        <v>188336.61363059835</v>
      </c>
      <c r="G12" s="29">
        <f t="shared" si="4"/>
        <v>70626.23011147439</v>
      </c>
      <c r="H12" s="29">
        <f t="shared" si="5"/>
        <v>283920.58074897726</v>
      </c>
      <c r="I12" s="49">
        <f>SUM(C12:F12)/B12</f>
        <v>45.30066597796143</v>
      </c>
    </row>
    <row r="15" spans="1:15" x14ac:dyDescent="0.25">
      <c r="A15" t="s">
        <v>76</v>
      </c>
    </row>
    <row r="16" spans="1:15" x14ac:dyDescent="0.25">
      <c r="A16" t="s">
        <v>135</v>
      </c>
    </row>
    <row r="17" spans="1:5" x14ac:dyDescent="0.25">
      <c r="A17" t="s">
        <v>139</v>
      </c>
    </row>
    <row r="21" spans="1:5" x14ac:dyDescent="0.25">
      <c r="A21" t="s">
        <v>73</v>
      </c>
    </row>
    <row r="22" spans="1:5" x14ac:dyDescent="0.25">
      <c r="A22" t="s">
        <v>32</v>
      </c>
      <c r="B22" t="s">
        <v>74</v>
      </c>
      <c r="C22" t="s">
        <v>140</v>
      </c>
      <c r="D22" t="s">
        <v>27</v>
      </c>
    </row>
    <row r="23" spans="1:5" x14ac:dyDescent="0.25">
      <c r="A23" t="s">
        <v>141</v>
      </c>
      <c r="B23" t="s">
        <v>142</v>
      </c>
      <c r="C23" s="29">
        <f>(4789.27+2967.74+500)/3</f>
        <v>2752.3366666666666</v>
      </c>
      <c r="D23" t="s">
        <v>143</v>
      </c>
    </row>
    <row r="24" spans="1:5" x14ac:dyDescent="0.25">
      <c r="A24" t="s">
        <v>154</v>
      </c>
      <c r="B24" t="s">
        <v>75</v>
      </c>
      <c r="C24" s="29">
        <v>5</v>
      </c>
    </row>
    <row r="25" spans="1:5" x14ac:dyDescent="0.25">
      <c r="A25" t="s">
        <v>147</v>
      </c>
      <c r="B25" t="s">
        <v>120</v>
      </c>
      <c r="C25" s="29">
        <v>20</v>
      </c>
      <c r="D25" t="s">
        <v>156</v>
      </c>
    </row>
    <row r="26" spans="1:5" x14ac:dyDescent="0.25">
      <c r="A26" t="s">
        <v>80</v>
      </c>
      <c r="B26" t="s">
        <v>75</v>
      </c>
      <c r="C26" s="29">
        <v>40</v>
      </c>
      <c r="D26" t="s">
        <v>161</v>
      </c>
    </row>
    <row r="27" spans="1:5" x14ac:dyDescent="0.25">
      <c r="A27" t="s">
        <v>170</v>
      </c>
      <c r="B27" t="s">
        <v>75</v>
      </c>
      <c r="C27" s="29">
        <v>15</v>
      </c>
      <c r="D27" t="s">
        <v>171</v>
      </c>
    </row>
    <row r="28" spans="1:5" x14ac:dyDescent="0.25">
      <c r="A28" t="s">
        <v>201</v>
      </c>
      <c r="B28" t="s">
        <v>75</v>
      </c>
      <c r="C28" s="46">
        <f>500/5280</f>
        <v>9.4696969696969696E-2</v>
      </c>
      <c r="D28" t="s">
        <v>202</v>
      </c>
      <c r="E28">
        <f>500/5280</f>
        <v>9.4696969696969696E-2</v>
      </c>
    </row>
  </sheetData>
  <mergeCells count="3">
    <mergeCell ref="A1:D2"/>
    <mergeCell ref="C3:D3"/>
    <mergeCell ref="C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3" sqref="H13"/>
    </sheetView>
  </sheetViews>
  <sheetFormatPr defaultRowHeight="15" x14ac:dyDescent="0.25"/>
  <cols>
    <col min="1" max="1" width="21.7109375" customWidth="1"/>
    <col min="2" max="2" width="11" customWidth="1"/>
    <col min="3" max="3" width="21.140625" bestFit="1" customWidth="1"/>
    <col min="4" max="4" width="18.85546875" customWidth="1"/>
    <col min="5" max="5" width="13.7109375" customWidth="1"/>
    <col min="6" max="6" width="10.7109375" customWidth="1"/>
    <col min="7" max="7" width="12.5703125" bestFit="1" customWidth="1"/>
    <col min="11" max="11" width="10.5703125" customWidth="1"/>
    <col min="13" max="14" width="12.5703125" customWidth="1"/>
    <col min="15" max="15" width="11.5703125" bestFit="1" customWidth="1"/>
  </cols>
  <sheetData>
    <row r="1" spans="1:15" x14ac:dyDescent="0.25">
      <c r="A1" s="77" t="s">
        <v>107</v>
      </c>
      <c r="B1" s="77"/>
      <c r="C1" s="77"/>
      <c r="D1" s="77"/>
      <c r="E1" s="77"/>
    </row>
    <row r="2" spans="1:15" x14ac:dyDescent="0.25">
      <c r="A2" s="77"/>
      <c r="B2" s="77"/>
      <c r="C2" s="77"/>
      <c r="D2" s="77"/>
      <c r="E2" s="77"/>
    </row>
    <row r="3" spans="1:15" ht="15" customHeight="1" x14ac:dyDescent="0.5">
      <c r="A3" s="25"/>
      <c r="B3" s="25"/>
      <c r="C3" s="25"/>
      <c r="D3" s="25"/>
      <c r="E3" s="22"/>
    </row>
    <row r="4" spans="1:15" x14ac:dyDescent="0.25">
      <c r="E4" s="78" t="s">
        <v>108</v>
      </c>
      <c r="F4" s="78"/>
    </row>
    <row r="5" spans="1:15" x14ac:dyDescent="0.25">
      <c r="A5" s="21" t="s">
        <v>64</v>
      </c>
      <c r="B5" s="21" t="s">
        <v>71</v>
      </c>
      <c r="C5" s="21" t="s">
        <v>141</v>
      </c>
      <c r="D5" s="21" t="s">
        <v>155</v>
      </c>
      <c r="E5" s="21" t="s">
        <v>98</v>
      </c>
      <c r="F5" s="21" t="s">
        <v>96</v>
      </c>
      <c r="G5" s="21" t="s">
        <v>149</v>
      </c>
      <c r="H5" s="21" t="s">
        <v>206</v>
      </c>
      <c r="I5" s="21"/>
      <c r="K5" s="21" t="s">
        <v>83</v>
      </c>
      <c r="L5" s="21" t="s">
        <v>174</v>
      </c>
      <c r="M5" s="21" t="s">
        <v>117</v>
      </c>
      <c r="N5" s="21" t="s">
        <v>123</v>
      </c>
      <c r="O5" s="21" t="s">
        <v>33</v>
      </c>
    </row>
    <row r="6" spans="1:15" x14ac:dyDescent="0.25">
      <c r="A6" t="s">
        <v>65</v>
      </c>
      <c r="B6" s="23">
        <f>ALL_SEGMENTS!D9</f>
        <v>5075.9603029441996</v>
      </c>
      <c r="C6" s="29">
        <f>(5*B6*$C$24)/43560</f>
        <v>1603.6216322701746</v>
      </c>
      <c r="D6" s="29">
        <f>B6*$C$25</f>
        <v>35531.722120609396</v>
      </c>
      <c r="E6" s="29">
        <f>B6*5*(4/12)*Materials!$F$6/27*1.4</f>
        <v>10874.461621850704</v>
      </c>
      <c r="F6" s="29">
        <f>B6*5*(2/12)*Materials!$F$7/27*1.4</f>
        <v>5437.2308109253518</v>
      </c>
      <c r="G6" s="29">
        <f>SUM(C6:F6)</f>
        <v>53447.036185655626</v>
      </c>
      <c r="K6" t="s">
        <v>98</v>
      </c>
      <c r="L6">
        <v>4</v>
      </c>
      <c r="M6" s="23">
        <f>$B$12*5*(L6/12)/27</f>
        <v>1265.9272551595745</v>
      </c>
      <c r="N6" s="23">
        <f>1.4*M6</f>
        <v>1772.2981572234044</v>
      </c>
      <c r="O6" s="29">
        <f>N6*Materials!F6</f>
        <v>43935.271317568193</v>
      </c>
    </row>
    <row r="7" spans="1:15" x14ac:dyDescent="0.25">
      <c r="A7" t="s">
        <v>66</v>
      </c>
      <c r="B7" s="23">
        <v>0</v>
      </c>
      <c r="C7" s="29">
        <f t="shared" ref="C7:C12" si="0">(5*B7*$C$24)/43560</f>
        <v>0</v>
      </c>
      <c r="D7" s="29">
        <f t="shared" ref="D7:D12" si="1">B7*$C$25</f>
        <v>0</v>
      </c>
      <c r="E7" s="29">
        <f>B7*5*(4/12)*Materials!$F$6/27*1.4</f>
        <v>0</v>
      </c>
      <c r="F7" s="29">
        <f>B7*5*(2/12)*Materials!$F$7/27*1.4</f>
        <v>0</v>
      </c>
      <c r="G7" s="29">
        <f t="shared" ref="G7:G12" si="2">SUM(C7:F7)</f>
        <v>0</v>
      </c>
      <c r="K7" t="s">
        <v>96</v>
      </c>
      <c r="L7">
        <v>2</v>
      </c>
      <c r="M7" s="23">
        <f t="shared" ref="M7:M8" si="3">$B$12*5*(L7/12)/27</f>
        <v>632.96362757978727</v>
      </c>
      <c r="N7" s="23">
        <f>1.4*M7</f>
        <v>886.14907861170218</v>
      </c>
      <c r="O7" s="29">
        <f>N7*Materials!F7</f>
        <v>21967.635658784096</v>
      </c>
    </row>
    <row r="8" spans="1:15" x14ac:dyDescent="0.25">
      <c r="A8" t="s">
        <v>67</v>
      </c>
      <c r="B8" s="23">
        <v>0</v>
      </c>
      <c r="C8" s="29">
        <f t="shared" si="0"/>
        <v>0</v>
      </c>
      <c r="D8" s="29">
        <f t="shared" si="1"/>
        <v>0</v>
      </c>
      <c r="E8" s="29">
        <f>B8*5*(4/12)*Materials!$F$6/27*1.4</f>
        <v>0</v>
      </c>
      <c r="F8" s="29">
        <f>B8*5*(2/12)*Materials!$F$7/27*1.4</f>
        <v>0</v>
      </c>
      <c r="G8" s="29">
        <f t="shared" si="2"/>
        <v>0</v>
      </c>
      <c r="K8" t="s">
        <v>114</v>
      </c>
      <c r="L8">
        <v>2</v>
      </c>
      <c r="M8" s="23">
        <f t="shared" si="3"/>
        <v>632.96362757978727</v>
      </c>
      <c r="N8" s="23"/>
      <c r="O8" s="29">
        <f>M8*Materials!F8</f>
        <v>25318.545103191493</v>
      </c>
    </row>
    <row r="9" spans="1:15" x14ac:dyDescent="0.25">
      <c r="A9" t="s">
        <v>68</v>
      </c>
      <c r="B9">
        <f>0</f>
        <v>0</v>
      </c>
      <c r="C9" s="29">
        <f t="shared" si="0"/>
        <v>0</v>
      </c>
      <c r="D9" s="29">
        <f t="shared" si="1"/>
        <v>0</v>
      </c>
      <c r="E9" s="29">
        <f>B9*5*(4/12)*Materials!$F$6/27*1.4</f>
        <v>0</v>
      </c>
      <c r="F9" s="29">
        <f>B9*5*(2/12)*Materials!$F$7/27*1.4</f>
        <v>0</v>
      </c>
      <c r="G9" s="29">
        <f t="shared" si="2"/>
        <v>0</v>
      </c>
    </row>
    <row r="10" spans="1:15" x14ac:dyDescent="0.25">
      <c r="A10" t="s">
        <v>69</v>
      </c>
      <c r="B10" s="23">
        <f>ALL_SEGMENTS!D42</f>
        <v>955.256354723409</v>
      </c>
      <c r="C10" s="29">
        <f t="shared" si="0"/>
        <v>301.78915187919864</v>
      </c>
      <c r="D10" s="29">
        <f t="shared" si="1"/>
        <v>6686.7944830638626</v>
      </c>
      <c r="E10" s="29">
        <f>B10*5*(4/12)*Materials!$F$6/27*1.4</f>
        <v>2046.4893238907796</v>
      </c>
      <c r="F10" s="29">
        <f>B10*5*(2/12)*Materials!$F$7/27*1.4</f>
        <v>1023.2446619453898</v>
      </c>
      <c r="G10" s="29">
        <f t="shared" si="2"/>
        <v>10058.317620779229</v>
      </c>
    </row>
    <row r="11" spans="1:15" x14ac:dyDescent="0.25">
      <c r="A11" t="s">
        <v>70</v>
      </c>
      <c r="B11" s="23">
        <f>ALL_SEGMENTS!D53</f>
        <v>14476.8048759175</v>
      </c>
      <c r="C11" s="29">
        <f t="shared" si="0"/>
        <v>4573.5813677877086</v>
      </c>
      <c r="D11" s="29">
        <f t="shared" si="1"/>
        <v>101337.6341314225</v>
      </c>
      <c r="E11" s="29">
        <f>B11*5*(4/12)*Materials!$F$6/27*1.4</f>
        <v>31014.320371826714</v>
      </c>
      <c r="F11" s="29">
        <f>B11*5*(2/12)*Materials!$F$7/27*1.4</f>
        <v>15507.160185913357</v>
      </c>
      <c r="G11" s="29">
        <f t="shared" si="2"/>
        <v>152432.69605695026</v>
      </c>
    </row>
    <row r="12" spans="1:15" x14ac:dyDescent="0.25">
      <c r="A12" s="21" t="s">
        <v>19</v>
      </c>
      <c r="B12" s="23">
        <f>SUM(B6:B11)</f>
        <v>20508.02153358511</v>
      </c>
      <c r="C12" s="29">
        <f t="shared" si="0"/>
        <v>6478.9921519370819</v>
      </c>
      <c r="D12" s="29">
        <f t="shared" si="1"/>
        <v>143556.15073509578</v>
      </c>
      <c r="E12" s="29">
        <f>B12*5*(4/12)*Materials!$F$6/27*1.4</f>
        <v>43935.271317568193</v>
      </c>
      <c r="F12" s="29">
        <f>B12*5*(2/12)*Materials!$F$7/27*1.4</f>
        <v>21967.635658784096</v>
      </c>
      <c r="G12" s="29">
        <f t="shared" si="2"/>
        <v>215938.04986338515</v>
      </c>
      <c r="H12" s="49">
        <f>SUM(C12:F12)/B12</f>
        <v>10.529443296602388</v>
      </c>
    </row>
    <row r="15" spans="1:15" x14ac:dyDescent="0.25">
      <c r="A15" t="s">
        <v>76</v>
      </c>
    </row>
    <row r="16" spans="1:15" x14ac:dyDescent="0.25">
      <c r="A16" t="s">
        <v>127</v>
      </c>
    </row>
    <row r="17" spans="1:5" x14ac:dyDescent="0.25">
      <c r="A17" t="s">
        <v>128</v>
      </c>
    </row>
    <row r="19" spans="1:5" x14ac:dyDescent="0.25">
      <c r="A19" t="s">
        <v>129</v>
      </c>
    </row>
    <row r="20" spans="1:5" x14ac:dyDescent="0.25">
      <c r="A20" t="s">
        <v>130</v>
      </c>
    </row>
    <row r="22" spans="1:5" x14ac:dyDescent="0.25">
      <c r="A22" t="s">
        <v>73</v>
      </c>
    </row>
    <row r="23" spans="1:5" x14ac:dyDescent="0.25">
      <c r="A23" t="s">
        <v>32</v>
      </c>
      <c r="B23" t="s">
        <v>74</v>
      </c>
      <c r="C23" t="s">
        <v>140</v>
      </c>
      <c r="D23" t="s">
        <v>27</v>
      </c>
    </row>
    <row r="24" spans="1:5" x14ac:dyDescent="0.25">
      <c r="A24" t="s">
        <v>141</v>
      </c>
      <c r="B24" t="s">
        <v>142</v>
      </c>
      <c r="C24" s="29">
        <f>(4789.27+2967.74+500)/3</f>
        <v>2752.3366666666666</v>
      </c>
      <c r="D24" t="s">
        <v>143</v>
      </c>
    </row>
    <row r="25" spans="1:5" x14ac:dyDescent="0.25">
      <c r="A25" t="s">
        <v>154</v>
      </c>
      <c r="B25" t="s">
        <v>75</v>
      </c>
      <c r="C25" s="29">
        <v>7</v>
      </c>
    </row>
    <row r="26" spans="1:5" x14ac:dyDescent="0.25">
      <c r="A26" t="s">
        <v>162</v>
      </c>
      <c r="B26" t="s">
        <v>123</v>
      </c>
      <c r="C26" s="29">
        <f>Materials!F6</f>
        <v>24.79</v>
      </c>
      <c r="D26" t="s">
        <v>184</v>
      </c>
    </row>
    <row r="27" spans="1:5" x14ac:dyDescent="0.25">
      <c r="A27" t="s">
        <v>163</v>
      </c>
      <c r="B27" t="s">
        <v>123</v>
      </c>
      <c r="C27" s="29">
        <f>Materials!F7</f>
        <v>24.79</v>
      </c>
      <c r="D27" t="s">
        <v>184</v>
      </c>
    </row>
    <row r="28" spans="1:5" x14ac:dyDescent="0.25">
      <c r="A28" t="s">
        <v>114</v>
      </c>
    </row>
    <row r="29" spans="1:5" x14ac:dyDescent="0.25">
      <c r="A29" t="s">
        <v>201</v>
      </c>
      <c r="B29" t="s">
        <v>75</v>
      </c>
      <c r="C29" s="46">
        <f>1000/5280</f>
        <v>0.18939393939393939</v>
      </c>
      <c r="D29" t="s">
        <v>203</v>
      </c>
      <c r="E29">
        <f>1000/5280</f>
        <v>0.18939393939393939</v>
      </c>
    </row>
  </sheetData>
  <mergeCells count="2">
    <mergeCell ref="A1:E2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report</vt:lpstr>
      <vt:lpstr>ALL_SEGMENTS</vt:lpstr>
      <vt:lpstr>A1</vt:lpstr>
      <vt:lpstr>A2</vt:lpstr>
      <vt:lpstr>A3</vt:lpstr>
      <vt:lpstr>A4</vt:lpstr>
      <vt:lpstr>A5</vt:lpstr>
      <vt:lpstr>A6</vt:lpstr>
      <vt:lpstr>B1</vt:lpstr>
      <vt:lpstr>B2</vt:lpstr>
      <vt:lpstr>B3</vt:lpstr>
      <vt:lpstr>B4</vt:lpstr>
      <vt:lpstr>C1</vt:lpstr>
      <vt:lpstr>D1</vt:lpstr>
      <vt:lpstr>Br-A</vt:lpstr>
      <vt:lpstr>Br-B</vt:lpstr>
      <vt:lpstr>Misc</vt:lpstr>
      <vt:lpstr>General Notes</vt:lpstr>
      <vt:lpstr>Materials</vt:lpstr>
      <vt:lpstr>References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Dana4</cp:lastModifiedBy>
  <dcterms:created xsi:type="dcterms:W3CDTF">2015-07-08T01:42:55Z</dcterms:created>
  <dcterms:modified xsi:type="dcterms:W3CDTF">2015-11-18T18:28:08Z</dcterms:modified>
</cp:coreProperties>
</file>